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vml" ContentType="application/vnd.openxmlformats-officedocument.vmlDrawing"/>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13.xml" ContentType="application/vnd.openxmlformats-officedocument.spreadsheetml.worksheet+xml"/>
  <Override PartName="/xl/worksheets/sheet14.xml" ContentType="application/vnd.openxmlformats-officedocument.spreadsheetml.worksheet+xml"/>
  <Override PartName="/xl/externalLinks/externalLink1.xml" ContentType="application/vnd.openxmlformats-officedocument.spreadsheetml.externalLink+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comments1.xml" ContentType="application/vnd.openxmlformats-officedocument.spreadsheetml.comments+xml"/>
  <Override PartName="/xl/drawings/drawing2.xml" ContentType="application/vnd.openxmlformats-officedocument.drawing+xml"/>
  <Override PartName="/xl/drawings/drawing3.xml" ContentType="application/vnd.openxmlformats-officedocument.drawing+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9628"/>
  <workbookPr codeName="ThisWorkbook" defaultThemeVersion="166925"/>
  <mc:AlternateContent xmlns:mc="http://schemas.openxmlformats.org/markup-compatibility/2006">
    <mc:Choice Requires="x15">
      <x15ac:absPath xmlns:x15ac="http://schemas.microsoft.com/office/spreadsheetml/2010/11/ac" url="C:\Users\vijayakumar\Downloads\"/>
    </mc:Choice>
  </mc:AlternateContent>
  <xr:revisionPtr revIDLastSave="0" documentId="13_ncr:1_{48349B3B-720D-4DFA-B078-46B36D1B8F0A}" xr6:coauthVersionLast="47" xr6:coauthVersionMax="47" xr10:uidLastSave="{00000000-0000-0000-0000-000000000000}"/>
  <workbookProtection workbookAlgorithmName="SHA-512" workbookHashValue="heYP25ORa8R0VxlqqBtwAH26HOLXm25EmAhO2oODAo1IjOeuQ+z1Ty7R0ibhM7DeVGgGJBcCt0WgEnI91LGstg==" workbookSaltValue="HW2Lew4WRMbHQ+c56ziiKA==" workbookSpinCount="100000" lockStructure="1"/>
  <bookViews>
    <workbookView xWindow="-120" yWindow="-120" windowWidth="29040" windowHeight="15720" tabRatio="734" xr2:uid="{D0605899-8335-4416-87CB-EDDF3F676294}"/>
  </bookViews>
  <sheets>
    <sheet name="DATA" sheetId="1" r:id="rId1"/>
    <sheet name="Statement(edit)" sheetId="3" r:id="rId2"/>
    <sheet name="statement print" sheetId="13" r:id="rId3"/>
    <sheet name="ANNEXURE" sheetId="5" r:id="rId4"/>
    <sheet name="Tax slabsfrom2001" sheetId="15" state="hidden" r:id="rId5"/>
    <sheet name="Form 16 -P1" sheetId="6" r:id="rId6"/>
    <sheet name="Form 16-P2" sheetId="7" r:id="rId7"/>
    <sheet name="Rent receipt" sheetId="9" r:id="rId8"/>
    <sheet name="FORM 10E" sheetId="12" r:id="rId9"/>
    <sheet name="12BB" sheetId="8" r:id="rId10"/>
    <sheet name="Table" sheetId="2" state="hidden" r:id="rId11"/>
    <sheet name="Sections" sheetId="4" state="hidden" r:id="rId12"/>
    <sheet name="Slabs RATES" sheetId="14" state="hidden" r:id="rId13"/>
    <sheet name="RS" sheetId="11" state="hidden" r:id="rId14"/>
  </sheets>
  <externalReferences>
    <externalReference r:id="rId15"/>
  </externalReferences>
  <definedNames>
    <definedName name="_80c" localSheetId="13">[1]Pro!$E$500:INDEX([1]Pro!$E$500:$E$522,COUNTIF([1]Pro!$E$500:$E$522,"?*"))</definedName>
    <definedName name="_80c">Sections!$F$7:$F$25</definedName>
    <definedName name="_Allowances">DATA!$CJ$11:$CJ$16</definedName>
    <definedName name="_BP">DATA!$CP$4:$CP$92</definedName>
    <definedName name="_xlnm._FilterDatabase" localSheetId="2" hidden="1">'statement print'!$AA$3:$AA$29</definedName>
    <definedName name="_xlnm._FilterDatabase" localSheetId="1" hidden="1">'Statement(edit)'!$AF$4:$AF$32</definedName>
    <definedName name="_MONTHS">DATA!$CH$11:$CH$22</definedName>
    <definedName name="_othersections" localSheetId="13">[1]Pro!$AB$501:INDEX([1]Pro!$AB$501:$AB$523,COUNTIF([1]Pro!$AB$501:$AB$523,"?*"))</definedName>
    <definedName name="_Othersections">Sections!$P$7:$P$28</definedName>
    <definedName name="_TEXTMONTHS">DATA!$EJ$3:INDEX(DATA!$EJ$3:$EJ$55,COUNTIF(DATA!$EJ$3:$EJ$55,"?*"))</definedName>
    <definedName name="AGE">ANNEXURE!$AL$48:$AL$50</definedName>
    <definedName name="FYMONTH">DATA!$CH$11:$CH$22</definedName>
    <definedName name="HOUSELOAN">Sections!$P$47:$P$50</definedName>
    <definedName name="HouseType">DATA!$BF$13:$BF$14</definedName>
    <definedName name="instals">Table!$E$7:$E$34</definedName>
    <definedName name="LEAVEMONTHS">DATA!$DW$4:INDEX(DATA!$DW$4:$DW$55,COUNTIF(DATA!$DW$4:$DW$55,"?*"))</definedName>
    <definedName name="LTYPE">DATA!$CH$7:$CH$9</definedName>
    <definedName name="PFTYPE">DATA!$CS$11:$CS$16</definedName>
    <definedName name="_xlnm.Print_Area" localSheetId="9">'12BB'!$B$2:$L$53</definedName>
    <definedName name="_xlnm.Print_Area" localSheetId="3">ANNEXURE!$A$2:$K$73</definedName>
    <definedName name="_xlnm.Print_Area" localSheetId="8">'FORM 10E'!$A$3:$I$84</definedName>
    <definedName name="_xlnm.Print_Area" localSheetId="5">'Form 16 -P1'!$B$2:$P$58</definedName>
    <definedName name="_xlnm.Print_Area" localSheetId="6">'Form 16-P2'!$B$2:$P$49</definedName>
    <definedName name="_xlnm.Print_Area" localSheetId="7">'Rent receipt'!$B$4:$K$24</definedName>
    <definedName name="_xlnm.Print_Area" localSheetId="2">OFFSET('statement print'!$A$2:$Z$3,0,0,2+'statement print'!$AD$3,'statement print'!$AD$2)</definedName>
    <definedName name="_xlnm.Print_Area" localSheetId="1">'Statement(edit)'!$A$2:$AD$31</definedName>
    <definedName name="taxtype">DATA!$BF$4:$BF$5</definedName>
    <definedName name="Z_0721B718_7113_42F6_80A7_4159C9B46316_.wvu.Cols" localSheetId="13" hidden="1">RS!$C:$DE</definedName>
    <definedName name="Z_0721B718_7113_42F6_80A7_4159C9B46316_.wvu.Rows" localSheetId="13" hidden="1">RS!$1:$14</definedName>
    <definedName name="Z_23B54F51_28A0_4B2B_8697_1CB34EA34CD5_.wvu.Cols" localSheetId="13" hidden="1">RS!$C:$DE</definedName>
    <definedName name="Z_23B54F51_28A0_4B2B_8697_1CB34EA34CD5_.wvu.Rows" localSheetId="13" hidden="1">RS!$1:$14</definedName>
    <definedName name="Z_24FAD51F_71B8_4595_B2A0_F89E073B10B4_.wvu.Cols" localSheetId="13" hidden="1">RS!$C:$DE</definedName>
    <definedName name="Z_24FAD51F_71B8_4595_B2A0_F89E073B10B4_.wvu.Rows" localSheetId="13" hidden="1">RS!$1:$14</definedName>
    <definedName name="Z_3889258E_E296_4411_A597_E4C405347DC1_.wvu.Cols" localSheetId="13" hidden="1">RS!$C:$DE</definedName>
    <definedName name="Z_3889258E_E296_4411_A597_E4C405347DC1_.wvu.Rows" localSheetId="13" hidden="1">RS!$1:$14</definedName>
    <definedName name="Z_43882746_C8CD_41DF_BDEC_25E501D023CF_.wvu.Cols" localSheetId="13" hidden="1">RS!$C:$DE</definedName>
    <definedName name="Z_43882746_C8CD_41DF_BDEC_25E501D023CF_.wvu.Rows" localSheetId="13" hidden="1">RS!$1:$12,RS!$14:$14</definedName>
    <definedName name="Z_76506621_BACD_42B2_BE75_5F0C907898DC_.wvu.Cols" localSheetId="13" hidden="1">RS!$C:$DE</definedName>
    <definedName name="Z_76506621_BACD_42B2_BE75_5F0C907898DC_.wvu.Rows" localSheetId="13" hidden="1">RS!$1:$14</definedName>
    <definedName name="Z_8054F277_2156_4E73_AEA8_47C38A527B55_.wvu.Cols" localSheetId="13" hidden="1">RS!$C:$DE</definedName>
    <definedName name="Z_8054F277_2156_4E73_AEA8_47C38A527B55_.wvu.Rows" localSheetId="13" hidden="1">RS!$1:$14</definedName>
    <definedName name="Z_807F254B_987D_4BF4_9852_2E68168B9CD8_.wvu.Cols" localSheetId="13" hidden="1">RS!$C:$DE</definedName>
    <definedName name="Z_807F254B_987D_4BF4_9852_2E68168B9CD8_.wvu.Rows" localSheetId="13" hidden="1">RS!$1:$12,RS!$14:$14</definedName>
    <definedName name="Z_91D02956_A3B8_4656_9B16_F2118C105B30_.wvu.Cols" localSheetId="13" hidden="1">RS!$C:$DE</definedName>
    <definedName name="Z_91D02956_A3B8_4656_9B16_F2118C105B30_.wvu.Rows" localSheetId="13" hidden="1">RS!$1:$14</definedName>
    <definedName name="Z_FFDC8CD7_BD27_4170_A27C_1971B34E6362_.wvu.Cols" localSheetId="13" hidden="1">RS!$C:$DE</definedName>
    <definedName name="Z_FFDC8CD7_BD27_4170_A27C_1971B34E6362_.wvu.Rows" localSheetId="13" hidden="1">RS!$1:$14</definedName>
  </definedNames>
  <calcPr calcId="191029"/>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calcChain.xml><?xml version="1.0" encoding="utf-8"?>
<calcChain xmlns="http://schemas.openxmlformats.org/spreadsheetml/2006/main">
  <c r="A2" i="13" l="1"/>
  <c r="A2" i="3"/>
  <c r="C32" i="5"/>
  <c r="O14" i="1"/>
  <c r="CP2" i="1" l="1"/>
  <c r="O12" i="1" l="1"/>
  <c r="A1" i="1" l="1"/>
  <c r="D38" i="8"/>
  <c r="B19" i="1"/>
  <c r="DK76" i="12"/>
  <c r="DG76" i="12" s="1"/>
  <c r="AM77" i="12"/>
  <c r="BK77" i="12"/>
  <c r="CJ77" i="12" s="1"/>
  <c r="C72" i="1"/>
  <c r="I72" i="1" s="1"/>
  <c r="C41" i="5" l="1"/>
  <c r="C31" i="5" l="1"/>
  <c r="I22" i="5" l="1"/>
  <c r="I23" i="5"/>
  <c r="AY43" i="1"/>
  <c r="EP57" i="1"/>
  <c r="EO58" i="1"/>
  <c r="EO71" i="1"/>
  <c r="EO72" i="1"/>
  <c r="ET62" i="1"/>
  <c r="ET61" i="1"/>
  <c r="ET60" i="1"/>
  <c r="GF11" i="1"/>
  <c r="GH11" i="1"/>
  <c r="GF12" i="1"/>
  <c r="GH12" i="1"/>
  <c r="GF13" i="1"/>
  <c r="GH13" i="1"/>
  <c r="I24" i="5" l="1"/>
  <c r="BD42" i="1"/>
  <c r="J30" i="1"/>
  <c r="J31" i="1"/>
  <c r="O41" i="1"/>
  <c r="O42" i="1"/>
  <c r="FZ4" i="1"/>
  <c r="CH28" i="1"/>
  <c r="FZ28" i="1" l="1"/>
  <c r="FZ29" i="1" s="1"/>
  <c r="CH27" i="1"/>
  <c r="CM28" i="1" l="1"/>
  <c r="BF9" i="1" l="1"/>
  <c r="BE12" i="1" s="1"/>
  <c r="BB49" i="1"/>
  <c r="I28" i="5"/>
  <c r="Y61" i="1"/>
  <c r="Z70" i="1" s="1"/>
  <c r="Y60" i="1"/>
  <c r="Y59" i="1"/>
  <c r="EO70" i="1"/>
  <c r="EO69" i="1"/>
  <c r="AD57" i="1"/>
  <c r="I32" i="2"/>
  <c r="I28" i="2"/>
  <c r="I29" i="2"/>
  <c r="AR43" i="1"/>
  <c r="AT49" i="1"/>
  <c r="AT48" i="1"/>
  <c r="I13" i="9"/>
  <c r="H13" i="9"/>
  <c r="BE10" i="1" l="1"/>
  <c r="AZ48" i="1"/>
  <c r="BE11" i="1"/>
  <c r="BA48" i="1"/>
  <c r="BA49" i="1"/>
  <c r="BB48" i="1"/>
  <c r="AZ49" i="1"/>
  <c r="Q29" i="2"/>
  <c r="BE8" i="1" l="1"/>
  <c r="BF19" i="1" s="1"/>
  <c r="BD48" i="1"/>
  <c r="AR49" i="1"/>
  <c r="I31" i="2" s="1"/>
  <c r="AT47" i="1"/>
  <c r="AT46" i="1"/>
  <c r="AT45" i="1"/>
  <c r="AT44" i="1"/>
  <c r="I27" i="2" s="1"/>
  <c r="AT43" i="1"/>
  <c r="I26" i="2" s="1"/>
  <c r="K71" i="1"/>
  <c r="Z68" i="1"/>
  <c r="Q31" i="2" l="1"/>
  <c r="AR48" i="1"/>
  <c r="I30" i="2" s="1"/>
  <c r="Q30" i="2" l="1"/>
  <c r="M2" i="12"/>
  <c r="EN2" i="1"/>
  <c r="EN3" i="1"/>
  <c r="FZ5" i="1"/>
  <c r="GA5" i="1" s="1"/>
  <c r="J31" i="14"/>
  <c r="J32" i="14"/>
  <c r="J29" i="14"/>
  <c r="J30" i="14"/>
  <c r="J28" i="14"/>
  <c r="P73" i="12"/>
  <c r="C69" i="1" s="1"/>
  <c r="P74" i="12"/>
  <c r="C70" i="1" s="1"/>
  <c r="I70" i="1" s="1"/>
  <c r="P75" i="12"/>
  <c r="C71" i="1" s="1"/>
  <c r="I71" i="1" s="1"/>
  <c r="P72" i="12"/>
  <c r="C68" i="1" s="1"/>
  <c r="P64" i="12"/>
  <c r="C60" i="1" s="1"/>
  <c r="P65" i="12"/>
  <c r="C61" i="1" s="1"/>
  <c r="P66" i="12"/>
  <c r="C62" i="1" s="1"/>
  <c r="P67" i="12"/>
  <c r="C63" i="1" s="1"/>
  <c r="P68" i="12"/>
  <c r="C64" i="1" s="1"/>
  <c r="P69" i="12"/>
  <c r="C65" i="1" s="1"/>
  <c r="P70" i="12"/>
  <c r="C66" i="1" s="1"/>
  <c r="P71" i="12"/>
  <c r="C67" i="1" s="1"/>
  <c r="P63" i="12"/>
  <c r="C59" i="1" s="1"/>
  <c r="D66" i="15"/>
  <c r="L67" i="15"/>
  <c r="K67" i="15"/>
  <c r="J67" i="15"/>
  <c r="K66" i="15"/>
  <c r="J66" i="15"/>
  <c r="I66" i="15"/>
  <c r="L64" i="15"/>
  <c r="K64" i="15"/>
  <c r="J64" i="15"/>
  <c r="I64" i="15"/>
  <c r="I67" i="15" s="1"/>
  <c r="E66" i="15"/>
  <c r="B66" i="15"/>
  <c r="E64" i="15"/>
  <c r="E67" i="15" s="1"/>
  <c r="D64" i="15"/>
  <c r="D67" i="15" s="1"/>
  <c r="C64" i="15"/>
  <c r="C67" i="15" s="1"/>
  <c r="B64" i="15"/>
  <c r="B67" i="15" s="1"/>
  <c r="E76" i="12" l="1"/>
  <c r="D76" i="12"/>
  <c r="D68" i="12"/>
  <c r="C66" i="15"/>
  <c r="B144" i="15"/>
  <c r="DG60" i="12"/>
  <c r="F179" i="15"/>
  <c r="E176" i="15"/>
  <c r="D176" i="15"/>
  <c r="C176" i="15"/>
  <c r="B176" i="15"/>
  <c r="B177" i="15" s="1"/>
  <c r="B178" i="15" s="1"/>
  <c r="D4" i="15"/>
  <c r="F12" i="15"/>
  <c r="F9" i="15" s="1"/>
  <c r="M12" i="15"/>
  <c r="M9" i="15" s="1"/>
  <c r="F14" i="15"/>
  <c r="M14" i="15"/>
  <c r="F15" i="15"/>
  <c r="M15" i="15"/>
  <c r="A19" i="15"/>
  <c r="F19" i="15" s="1"/>
  <c r="E22" i="15"/>
  <c r="E26" i="15" s="1"/>
  <c r="D25" i="15"/>
  <c r="K25" i="15"/>
  <c r="D26" i="15"/>
  <c r="K26" i="15"/>
  <c r="D27" i="15"/>
  <c r="E27" i="15" s="1"/>
  <c r="K27" i="15"/>
  <c r="L27" i="15" s="1"/>
  <c r="D28" i="15"/>
  <c r="E28" i="15" s="1"/>
  <c r="K28" i="15"/>
  <c r="L28" i="15" s="1"/>
  <c r="E30" i="15"/>
  <c r="E31" i="15" s="1"/>
  <c r="L30" i="15"/>
  <c r="L31" i="15" s="1"/>
  <c r="D36" i="15"/>
  <c r="F43" i="15"/>
  <c r="M43" i="15"/>
  <c r="F46" i="15"/>
  <c r="M46" i="15"/>
  <c r="F47" i="15"/>
  <c r="D49" i="15"/>
  <c r="E49" i="15"/>
  <c r="K49" i="15"/>
  <c r="L49" i="15" s="1"/>
  <c r="D50" i="15"/>
  <c r="E50" i="15"/>
  <c r="K50" i="15"/>
  <c r="L50" i="15"/>
  <c r="D51" i="15"/>
  <c r="E51" i="15"/>
  <c r="K51" i="15"/>
  <c r="L51" i="15"/>
  <c r="D52" i="15"/>
  <c r="E52" i="15"/>
  <c r="K52" i="15"/>
  <c r="L52" i="15" s="1"/>
  <c r="D53" i="15"/>
  <c r="E53" i="15"/>
  <c r="K53" i="15"/>
  <c r="L53" i="15"/>
  <c r="D54" i="15"/>
  <c r="E54" i="15" s="1"/>
  <c r="K54" i="15"/>
  <c r="L54" i="15" s="1"/>
  <c r="M72" i="15"/>
  <c r="F81" i="15"/>
  <c r="F78" i="15" s="1"/>
  <c r="F104" i="15"/>
  <c r="M104" i="15" s="1"/>
  <c r="F92" i="15"/>
  <c r="M92" i="15" s="1"/>
  <c r="F69" i="15"/>
  <c r="M69" i="15" s="1"/>
  <c r="K173" i="15"/>
  <c r="D173" i="15"/>
  <c r="K166" i="15"/>
  <c r="K169" i="15" s="1"/>
  <c r="D166" i="15"/>
  <c r="E169" i="15" s="1"/>
  <c r="K158" i="15"/>
  <c r="D158" i="15"/>
  <c r="K150" i="15"/>
  <c r="I153" i="15" s="1"/>
  <c r="I154" i="15" s="1"/>
  <c r="D150" i="15"/>
  <c r="K141" i="15"/>
  <c r="D141" i="15"/>
  <c r="K133" i="15"/>
  <c r="D133" i="15"/>
  <c r="K125" i="15"/>
  <c r="D125" i="15"/>
  <c r="K117" i="15"/>
  <c r="D117" i="15"/>
  <c r="K109" i="15"/>
  <c r="D109" i="15"/>
  <c r="K98" i="15"/>
  <c r="J102" i="15" s="1"/>
  <c r="D98" i="15"/>
  <c r="E102" i="15" s="1"/>
  <c r="E105" i="15" s="1"/>
  <c r="K86" i="15"/>
  <c r="D86" i="15"/>
  <c r="D75" i="15"/>
  <c r="M164" i="15"/>
  <c r="F164" i="15"/>
  <c r="M156" i="15"/>
  <c r="F156" i="15"/>
  <c r="M264" i="15"/>
  <c r="F264" i="15"/>
  <c r="K262" i="15"/>
  <c r="J262" i="15"/>
  <c r="J261" i="15"/>
  <c r="I261" i="15"/>
  <c r="D261" i="15"/>
  <c r="I262" i="15"/>
  <c r="C261" i="15"/>
  <c r="M256" i="15"/>
  <c r="F256" i="15"/>
  <c r="C254" i="15"/>
  <c r="B254" i="15"/>
  <c r="M248" i="15"/>
  <c r="F248" i="15"/>
  <c r="K246" i="15"/>
  <c r="J246" i="15"/>
  <c r="J245" i="15"/>
  <c r="I245" i="15"/>
  <c r="D245" i="15"/>
  <c r="I246" i="15"/>
  <c r="C245" i="15"/>
  <c r="M240" i="15"/>
  <c r="F240" i="15"/>
  <c r="B238" i="15"/>
  <c r="C238" i="15"/>
  <c r="M232" i="15"/>
  <c r="F232" i="15"/>
  <c r="K230" i="15"/>
  <c r="J230" i="15"/>
  <c r="D230" i="15"/>
  <c r="J229" i="15"/>
  <c r="I229" i="15"/>
  <c r="D229" i="15"/>
  <c r="B229" i="15"/>
  <c r="I230" i="15"/>
  <c r="C229" i="15"/>
  <c r="M224" i="15"/>
  <c r="F224" i="15"/>
  <c r="B222" i="15"/>
  <c r="M216" i="15"/>
  <c r="F216" i="15"/>
  <c r="M208" i="15"/>
  <c r="F208" i="15"/>
  <c r="M200" i="15"/>
  <c r="F200" i="15"/>
  <c r="M192" i="15"/>
  <c r="F192" i="15"/>
  <c r="M185" i="15"/>
  <c r="F185" i="15"/>
  <c r="K183" i="15"/>
  <c r="K184" i="15" s="1"/>
  <c r="J183" i="15"/>
  <c r="J184" i="15" s="1"/>
  <c r="I183" i="15"/>
  <c r="I184" i="15" s="1"/>
  <c r="I185" i="15" s="1"/>
  <c r="D183" i="15"/>
  <c r="D184" i="15" s="1"/>
  <c r="D185" i="15" s="1"/>
  <c r="C183" i="15"/>
  <c r="C184" i="15" s="1"/>
  <c r="B183" i="15"/>
  <c r="B184" i="15" s="1"/>
  <c r="B185" i="15" s="1"/>
  <c r="M179" i="15"/>
  <c r="L176" i="15"/>
  <c r="K176" i="15"/>
  <c r="J176" i="15"/>
  <c r="I176" i="15"/>
  <c r="M171" i="15"/>
  <c r="F171" i="15"/>
  <c r="M147" i="15"/>
  <c r="F147" i="15"/>
  <c r="L144" i="15"/>
  <c r="K144" i="15"/>
  <c r="J144" i="15"/>
  <c r="I144" i="15"/>
  <c r="E144" i="15"/>
  <c r="E145" i="15" s="1"/>
  <c r="D144" i="15"/>
  <c r="C144" i="15"/>
  <c r="M139" i="15"/>
  <c r="F139" i="15"/>
  <c r="L136" i="15"/>
  <c r="L137" i="15" s="1"/>
  <c r="L138" i="15" s="1"/>
  <c r="K136" i="15"/>
  <c r="K137" i="15" s="1"/>
  <c r="J136" i="15"/>
  <c r="I136" i="15"/>
  <c r="E136" i="15"/>
  <c r="D136" i="15"/>
  <c r="C136" i="15"/>
  <c r="B136" i="15"/>
  <c r="M131" i="15"/>
  <c r="F131" i="15"/>
  <c r="M123" i="15"/>
  <c r="F123" i="15"/>
  <c r="M115" i="15"/>
  <c r="F115" i="15"/>
  <c r="M107" i="15"/>
  <c r="F107" i="15"/>
  <c r="M106" i="15"/>
  <c r="F106" i="15"/>
  <c r="M95" i="15"/>
  <c r="F95" i="15"/>
  <c r="M94" i="15"/>
  <c r="F94" i="15"/>
  <c r="M84" i="15"/>
  <c r="F84" i="15"/>
  <c r="M83" i="15"/>
  <c r="F83" i="15"/>
  <c r="M71" i="15"/>
  <c r="F71" i="15"/>
  <c r="BL76" i="12" l="1"/>
  <c r="Q76" i="12"/>
  <c r="F76" i="12"/>
  <c r="J161" i="15"/>
  <c r="J162" i="15" s="1"/>
  <c r="E55" i="15"/>
  <c r="E57" i="15" s="1"/>
  <c r="M45" i="15"/>
  <c r="L161" i="15"/>
  <c r="L162" i="15" s="1"/>
  <c r="B161" i="15"/>
  <c r="B162" i="15" s="1"/>
  <c r="E25" i="15"/>
  <c r="C161" i="15"/>
  <c r="C162" i="15" s="1"/>
  <c r="D29" i="15"/>
  <c r="E29" i="15" s="1"/>
  <c r="D101" i="15"/>
  <c r="D103" i="15" s="1"/>
  <c r="F93" i="15"/>
  <c r="D24" i="15"/>
  <c r="E24" i="15" s="1"/>
  <c r="F13" i="15"/>
  <c r="F66" i="15"/>
  <c r="D102" i="15"/>
  <c r="D105" i="15" s="1"/>
  <c r="L19" i="15"/>
  <c r="C19" i="15" s="1"/>
  <c r="F70" i="15"/>
  <c r="K19" i="15"/>
  <c r="B19" i="15" s="1"/>
  <c r="D161" i="15"/>
  <c r="D162" i="15" s="1"/>
  <c r="B112" i="15" s="1"/>
  <c r="B113" i="15" s="1"/>
  <c r="E153" i="15"/>
  <c r="E154" i="15" s="1"/>
  <c r="E19" i="15"/>
  <c r="E161" i="15"/>
  <c r="D169" i="15"/>
  <c r="D170" i="15" s="1"/>
  <c r="C153" i="15"/>
  <c r="B169" i="15"/>
  <c r="B170" i="15" s="1"/>
  <c r="B171" i="15" s="1"/>
  <c r="C169" i="15"/>
  <c r="C170" i="15" s="1"/>
  <c r="C171" i="15" s="1"/>
  <c r="B153" i="15"/>
  <c r="B154" i="15" s="1"/>
  <c r="C101" i="15"/>
  <c r="C103" i="15" s="1"/>
  <c r="D153" i="15"/>
  <c r="D154" i="15" s="1"/>
  <c r="L55" i="15"/>
  <c r="L57" i="15" s="1"/>
  <c r="L33" i="15"/>
  <c r="L34" i="15" s="1"/>
  <c r="M34" i="15" s="1"/>
  <c r="M47" i="15" s="1"/>
  <c r="E58" i="15"/>
  <c r="E101" i="15"/>
  <c r="E104" i="15" s="1"/>
  <c r="E106" i="15" s="1"/>
  <c r="M19" i="15"/>
  <c r="D19" i="15" s="1"/>
  <c r="M13" i="15"/>
  <c r="J101" i="15"/>
  <c r="J103" i="15" s="1"/>
  <c r="B101" i="15"/>
  <c r="B103" i="15" s="1"/>
  <c r="K101" i="15"/>
  <c r="K103" i="15" s="1"/>
  <c r="K102" i="15"/>
  <c r="K105" i="15" s="1"/>
  <c r="K107" i="15" s="1"/>
  <c r="L102" i="15"/>
  <c r="L105" i="15" s="1"/>
  <c r="L107" i="15" s="1"/>
  <c r="I161" i="15"/>
  <c r="I162" i="15" s="1"/>
  <c r="K161" i="15"/>
  <c r="K162" i="15" s="1"/>
  <c r="J112" i="15" s="1"/>
  <c r="J113" i="15" s="1"/>
  <c r="I101" i="15"/>
  <c r="I103" i="15" s="1"/>
  <c r="M105" i="15"/>
  <c r="F105" i="15"/>
  <c r="M93" i="15"/>
  <c r="F82" i="15"/>
  <c r="M81" i="15"/>
  <c r="M82" i="15" s="1"/>
  <c r="J247" i="15"/>
  <c r="J248" i="15" s="1"/>
  <c r="J231" i="15"/>
  <c r="J232" i="15" s="1"/>
  <c r="D177" i="15"/>
  <c r="D178" i="15" s="1"/>
  <c r="D145" i="15"/>
  <c r="D146" i="15" s="1"/>
  <c r="D147" i="15" s="1"/>
  <c r="E146" i="15"/>
  <c r="E147" i="15" s="1"/>
  <c r="K170" i="15"/>
  <c r="K171" i="15" s="1"/>
  <c r="L169" i="15"/>
  <c r="L170" i="15" s="1"/>
  <c r="L171" i="15" s="1"/>
  <c r="J169" i="15"/>
  <c r="I169" i="15"/>
  <c r="I170" i="15" s="1"/>
  <c r="I171" i="15" s="1"/>
  <c r="J153" i="15"/>
  <c r="J154" i="15" s="1"/>
  <c r="K153" i="15"/>
  <c r="K154" i="15" s="1"/>
  <c r="L153" i="15"/>
  <c r="L154" i="15" s="1"/>
  <c r="L101" i="15"/>
  <c r="L104" i="15" s="1"/>
  <c r="L106" i="15" s="1"/>
  <c r="I102" i="15"/>
  <c r="I105" i="15" s="1"/>
  <c r="I107" i="15" s="1"/>
  <c r="B102" i="15"/>
  <c r="B105" i="15" s="1"/>
  <c r="B107" i="15" s="1"/>
  <c r="C102" i="15"/>
  <c r="C105" i="15" s="1"/>
  <c r="C107" i="15" s="1"/>
  <c r="I155" i="15"/>
  <c r="I156" i="15" s="1"/>
  <c r="J105" i="15"/>
  <c r="J107" i="15" s="1"/>
  <c r="J263" i="15"/>
  <c r="J264" i="15" s="1"/>
  <c r="K138" i="15"/>
  <c r="K139" i="15" s="1"/>
  <c r="I247" i="15"/>
  <c r="I248" i="15" s="1"/>
  <c r="D253" i="15"/>
  <c r="C253" i="15"/>
  <c r="D254" i="15"/>
  <c r="B253" i="15"/>
  <c r="I263" i="15"/>
  <c r="I264" i="15" s="1"/>
  <c r="D231" i="15"/>
  <c r="D232" i="15" s="1"/>
  <c r="K253" i="15"/>
  <c r="J253" i="15"/>
  <c r="K254" i="15"/>
  <c r="I253" i="15"/>
  <c r="J254" i="15"/>
  <c r="I254" i="15"/>
  <c r="M70" i="15"/>
  <c r="C177" i="15"/>
  <c r="C178" i="15" s="1"/>
  <c r="C185" i="15"/>
  <c r="I231" i="15"/>
  <c r="I232" i="15" s="1"/>
  <c r="K221" i="15"/>
  <c r="J221" i="15"/>
  <c r="I221" i="15"/>
  <c r="I222" i="15"/>
  <c r="M66" i="15"/>
  <c r="D237" i="15"/>
  <c r="C237" i="15"/>
  <c r="D238" i="15"/>
  <c r="B237" i="15"/>
  <c r="L139" i="15"/>
  <c r="D221" i="15"/>
  <c r="C221" i="15"/>
  <c r="B221" i="15"/>
  <c r="K237" i="15"/>
  <c r="J237" i="15"/>
  <c r="K238" i="15"/>
  <c r="I237" i="15"/>
  <c r="J238" i="15"/>
  <c r="I238" i="15"/>
  <c r="B137" i="15"/>
  <c r="I145" i="15"/>
  <c r="E177" i="15"/>
  <c r="E178" i="15" s="1"/>
  <c r="E107" i="15"/>
  <c r="C137" i="15"/>
  <c r="J145" i="15"/>
  <c r="J146" i="15" s="1"/>
  <c r="I177" i="15"/>
  <c r="I178" i="15" s="1"/>
  <c r="J185" i="15"/>
  <c r="K229" i="15"/>
  <c r="K245" i="15"/>
  <c r="K261" i="15"/>
  <c r="D137" i="15"/>
  <c r="D138" i="15" s="1"/>
  <c r="K145" i="15"/>
  <c r="K146" i="15" s="1"/>
  <c r="J177" i="15"/>
  <c r="J178" i="15" s="1"/>
  <c r="K185" i="15"/>
  <c r="B230" i="15"/>
  <c r="B231" i="15" s="1"/>
  <c r="B246" i="15"/>
  <c r="B262" i="15"/>
  <c r="E137" i="15"/>
  <c r="E138" i="15" s="1"/>
  <c r="E139" i="15" s="1"/>
  <c r="L145" i="15"/>
  <c r="L146" i="15" s="1"/>
  <c r="E170" i="15"/>
  <c r="E171" i="15" s="1"/>
  <c r="K177" i="15"/>
  <c r="K178" i="15" s="1"/>
  <c r="C230" i="15"/>
  <c r="C231" i="15" s="1"/>
  <c r="C232" i="15" s="1"/>
  <c r="C246" i="15"/>
  <c r="C247" i="15" s="1"/>
  <c r="C262" i="15"/>
  <c r="C263" i="15" s="1"/>
  <c r="I137" i="15"/>
  <c r="I138" i="15" s="1"/>
  <c r="B145" i="15"/>
  <c r="L177" i="15"/>
  <c r="L178" i="15" s="1"/>
  <c r="B245" i="15"/>
  <c r="D246" i="15"/>
  <c r="D247" i="15" s="1"/>
  <c r="B261" i="15"/>
  <c r="D262" i="15"/>
  <c r="D263" i="15" s="1"/>
  <c r="J137" i="15"/>
  <c r="C145" i="15"/>
  <c r="C146" i="15" s="1"/>
  <c r="CK76" i="12" l="1"/>
  <c r="AN76" i="12"/>
  <c r="H19" i="15"/>
  <c r="E32" i="15" s="1"/>
  <c r="E33" i="15" s="1"/>
  <c r="E34" i="15" s="1"/>
  <c r="F34" i="15" s="1"/>
  <c r="F44" i="15" s="1"/>
  <c r="J163" i="15"/>
  <c r="J164" i="15" s="1"/>
  <c r="E162" i="15"/>
  <c r="E163" i="15" s="1"/>
  <c r="E164" i="15" s="1"/>
  <c r="C154" i="15"/>
  <c r="C155" i="15" s="1"/>
  <c r="C156" i="15" s="1"/>
  <c r="L120" i="15"/>
  <c r="L122" i="15" s="1"/>
  <c r="L123" i="15" s="1"/>
  <c r="E59" i="15"/>
  <c r="F59" i="15" s="1"/>
  <c r="F72" i="15" s="1"/>
  <c r="L163" i="15"/>
  <c r="L164" i="15" s="1"/>
  <c r="B155" i="15"/>
  <c r="B156" i="15" s="1"/>
  <c r="D104" i="15"/>
  <c r="D106" i="15" s="1"/>
  <c r="I104" i="15"/>
  <c r="I106" i="15" s="1"/>
  <c r="I120" i="15"/>
  <c r="I121" i="15" s="1"/>
  <c r="J120" i="15"/>
  <c r="J121" i="15" s="1"/>
  <c r="C163" i="15"/>
  <c r="C164" i="15" s="1"/>
  <c r="D107" i="15"/>
  <c r="I163" i="15"/>
  <c r="I164" i="15" s="1"/>
  <c r="K120" i="15"/>
  <c r="K121" i="15" s="1"/>
  <c r="C104" i="15"/>
  <c r="C106" i="15" s="1"/>
  <c r="B104" i="15"/>
  <c r="B106" i="15" s="1"/>
  <c r="J104" i="15"/>
  <c r="J106" i="15" s="1"/>
  <c r="E155" i="15"/>
  <c r="E156" i="15" s="1"/>
  <c r="K155" i="15"/>
  <c r="K156" i="15" s="1"/>
  <c r="J155" i="15"/>
  <c r="J156" i="15" s="1"/>
  <c r="G19" i="15"/>
  <c r="D171" i="15"/>
  <c r="B120" i="15"/>
  <c r="B121" i="15" s="1"/>
  <c r="K104" i="15"/>
  <c r="K106" i="15" s="1"/>
  <c r="I112" i="15"/>
  <c r="I113" i="15" s="1"/>
  <c r="I114" i="15" s="1"/>
  <c r="I115" i="15" s="1"/>
  <c r="K163" i="15"/>
  <c r="K164" i="15" s="1"/>
  <c r="D163" i="15"/>
  <c r="D164" i="15" s="1"/>
  <c r="L58" i="15"/>
  <c r="L59" i="15" s="1"/>
  <c r="M59" i="15" s="1"/>
  <c r="I139" i="15"/>
  <c r="D155" i="15"/>
  <c r="D156" i="15" s="1"/>
  <c r="K112" i="15"/>
  <c r="K113" i="15" s="1"/>
  <c r="L112" i="15"/>
  <c r="L114" i="15" s="1"/>
  <c r="L115" i="15" s="1"/>
  <c r="C128" i="15"/>
  <c r="C129" i="15" s="1"/>
  <c r="D128" i="15"/>
  <c r="B78" i="15" s="1"/>
  <c r="B80" i="15" s="1"/>
  <c r="E128" i="15"/>
  <c r="E130" i="15" s="1"/>
  <c r="E131" i="15" s="1"/>
  <c r="C112" i="15"/>
  <c r="C113" i="15" s="1"/>
  <c r="E112" i="15"/>
  <c r="E114" i="15" s="1"/>
  <c r="E115" i="15" s="1"/>
  <c r="B163" i="15"/>
  <c r="B164" i="15" s="1"/>
  <c r="D139" i="15"/>
  <c r="D264" i="15"/>
  <c r="B128" i="15"/>
  <c r="B129" i="15" s="1"/>
  <c r="B130" i="15" s="1"/>
  <c r="B131" i="15" s="1"/>
  <c r="L147" i="15"/>
  <c r="I146" i="15"/>
  <c r="I147" i="15" s="1"/>
  <c r="B146" i="15"/>
  <c r="B147" i="15" s="1"/>
  <c r="C147" i="15"/>
  <c r="J170" i="15"/>
  <c r="J171" i="15" s="1"/>
  <c r="L155" i="15"/>
  <c r="L156" i="15" s="1"/>
  <c r="D112" i="15"/>
  <c r="D113" i="15" s="1"/>
  <c r="D114" i="15" s="1"/>
  <c r="J114" i="15"/>
  <c r="J115" i="15" s="1"/>
  <c r="L90" i="15"/>
  <c r="L89" i="15"/>
  <c r="K90" i="15"/>
  <c r="K89" i="15"/>
  <c r="I90" i="15"/>
  <c r="J89" i="15"/>
  <c r="I89" i="15"/>
  <c r="I91" i="15" s="1"/>
  <c r="J90" i="15"/>
  <c r="L128" i="15"/>
  <c r="K128" i="15"/>
  <c r="K129" i="15" s="1"/>
  <c r="J128" i="15"/>
  <c r="I128" i="15"/>
  <c r="I129" i="15" s="1"/>
  <c r="I214" i="15"/>
  <c r="I198" i="15"/>
  <c r="C197" i="15"/>
  <c r="D214" i="15"/>
  <c r="D198" i="15"/>
  <c r="B197" i="15"/>
  <c r="K222" i="15"/>
  <c r="K223" i="15" s="1"/>
  <c r="K224" i="15" s="1"/>
  <c r="C214" i="15"/>
  <c r="C198" i="15"/>
  <c r="J222" i="15"/>
  <c r="J223" i="15" s="1"/>
  <c r="J224" i="15" s="1"/>
  <c r="B214" i="15"/>
  <c r="B198" i="15"/>
  <c r="D222" i="15"/>
  <c r="D223" i="15" s="1"/>
  <c r="D224" i="15" s="1"/>
  <c r="K198" i="15"/>
  <c r="J198" i="15"/>
  <c r="D197" i="15"/>
  <c r="C222" i="15"/>
  <c r="C223" i="15" s="1"/>
  <c r="K214" i="15"/>
  <c r="J214" i="15"/>
  <c r="D248" i="15"/>
  <c r="E90" i="15"/>
  <c r="E89" i="15"/>
  <c r="D90" i="15"/>
  <c r="D89" i="15"/>
  <c r="C90" i="15"/>
  <c r="C89" i="15"/>
  <c r="C91" i="15" s="1"/>
  <c r="B90" i="15"/>
  <c r="B89" i="15"/>
  <c r="K247" i="15"/>
  <c r="K248" i="15" s="1"/>
  <c r="K239" i="15"/>
  <c r="K240" i="15" s="1"/>
  <c r="I255" i="15"/>
  <c r="I256" i="15" s="1"/>
  <c r="C120" i="15"/>
  <c r="C121" i="15" s="1"/>
  <c r="E120" i="15"/>
  <c r="D120" i="15"/>
  <c r="D121" i="15" s="1"/>
  <c r="K231" i="15"/>
  <c r="K232" i="15" s="1"/>
  <c r="C138" i="15"/>
  <c r="C139" i="15" s="1"/>
  <c r="B223" i="15"/>
  <c r="B224" i="15" s="1"/>
  <c r="C248" i="15"/>
  <c r="C213" i="15"/>
  <c r="B213" i="15"/>
  <c r="D213" i="15"/>
  <c r="C264" i="15"/>
  <c r="K255" i="15"/>
  <c r="B263" i="15"/>
  <c r="B264" i="15" s="1"/>
  <c r="K147" i="15"/>
  <c r="B138" i="15"/>
  <c r="B139" i="15" s="1"/>
  <c r="C239" i="15"/>
  <c r="C240" i="15" s="1"/>
  <c r="I223" i="15"/>
  <c r="I224" i="15" s="1"/>
  <c r="B255" i="15"/>
  <c r="B256" i="15" s="1"/>
  <c r="I239" i="15"/>
  <c r="I240" i="15" s="1"/>
  <c r="J147" i="15"/>
  <c r="D239" i="15"/>
  <c r="D240" i="15" s="1"/>
  <c r="J255" i="15"/>
  <c r="J256" i="15"/>
  <c r="B247" i="15"/>
  <c r="B248" i="15" s="1"/>
  <c r="B232" i="15"/>
  <c r="C255" i="15"/>
  <c r="C256" i="15" s="1"/>
  <c r="B239" i="15"/>
  <c r="B240" i="15" s="1"/>
  <c r="K263" i="15"/>
  <c r="K264" i="15" s="1"/>
  <c r="J239" i="15"/>
  <c r="J240" i="15" s="1"/>
  <c r="B114" i="15"/>
  <c r="B115" i="15" s="1"/>
  <c r="J138" i="15"/>
  <c r="J139" i="15" s="1"/>
  <c r="D255" i="15"/>
  <c r="C78" i="15" l="1"/>
  <c r="C80" i="15" s="1"/>
  <c r="E79" i="15"/>
  <c r="E82" i="15" s="1"/>
  <c r="E84" i="15" s="1"/>
  <c r="B79" i="15"/>
  <c r="D78" i="15"/>
  <c r="C79" i="15"/>
  <c r="E78" i="15"/>
  <c r="D79" i="15"/>
  <c r="D129" i="15"/>
  <c r="D130" i="15" s="1"/>
  <c r="D131" i="15" s="1"/>
  <c r="I19" i="15"/>
  <c r="I122" i="15"/>
  <c r="I123" i="15" s="1"/>
  <c r="J122" i="15"/>
  <c r="J123" i="15" s="1"/>
  <c r="K122" i="15"/>
  <c r="K123" i="15" s="1"/>
  <c r="K114" i="15"/>
  <c r="J7" i="15" s="1"/>
  <c r="J9" i="15" s="1"/>
  <c r="C114" i="15"/>
  <c r="C115" i="15" s="1"/>
  <c r="E7" i="15"/>
  <c r="E9" i="15" s="1"/>
  <c r="B7" i="15"/>
  <c r="B9" i="15" s="1"/>
  <c r="D10" i="15"/>
  <c r="C7" i="15"/>
  <c r="C9" i="15" s="1"/>
  <c r="B10" i="15"/>
  <c r="D7" i="15"/>
  <c r="C10" i="15"/>
  <c r="E10" i="15"/>
  <c r="E42" i="15"/>
  <c r="B42" i="15"/>
  <c r="D39" i="15"/>
  <c r="B39" i="15"/>
  <c r="B41" i="15"/>
  <c r="C42" i="15"/>
  <c r="C39" i="15"/>
  <c r="C41" i="15" s="1"/>
  <c r="D42" i="15"/>
  <c r="E39" i="15"/>
  <c r="J39" i="15"/>
  <c r="J41" i="15" s="1"/>
  <c r="K42" i="15"/>
  <c r="K39" i="15"/>
  <c r="K41" i="15" s="1"/>
  <c r="L42" i="15"/>
  <c r="L39" i="15"/>
  <c r="I42" i="15"/>
  <c r="I39" i="15"/>
  <c r="I41" i="15" s="1"/>
  <c r="J42" i="15"/>
  <c r="C130" i="15"/>
  <c r="C131" i="15" s="1"/>
  <c r="K190" i="15"/>
  <c r="J190" i="15"/>
  <c r="I190" i="15"/>
  <c r="D190" i="15"/>
  <c r="C190" i="15"/>
  <c r="B190" i="15"/>
  <c r="K205" i="15"/>
  <c r="J205" i="15"/>
  <c r="I205" i="15"/>
  <c r="C215" i="15"/>
  <c r="C216" i="15" s="1"/>
  <c r="C93" i="15"/>
  <c r="C95" i="15" s="1"/>
  <c r="C199" i="15"/>
  <c r="C200" i="15" s="1"/>
  <c r="C82" i="15"/>
  <c r="C84" i="15" s="1"/>
  <c r="B122" i="15"/>
  <c r="B123" i="15" s="1"/>
  <c r="I93" i="15"/>
  <c r="I95" i="15" s="1"/>
  <c r="C224" i="15"/>
  <c r="L130" i="15"/>
  <c r="L131" i="15" s="1"/>
  <c r="K206" i="15"/>
  <c r="J206" i="15"/>
  <c r="D205" i="15"/>
  <c r="I206" i="15"/>
  <c r="C205" i="15"/>
  <c r="D206" i="15"/>
  <c r="B205" i="15"/>
  <c r="C206" i="15"/>
  <c r="B206" i="15"/>
  <c r="B81" i="15"/>
  <c r="B83" i="15" s="1"/>
  <c r="D82" i="15"/>
  <c r="D84" i="15" s="1"/>
  <c r="D91" i="15"/>
  <c r="J93" i="15"/>
  <c r="J95" i="15" s="1"/>
  <c r="L92" i="15"/>
  <c r="L94" i="15" s="1"/>
  <c r="D115" i="15"/>
  <c r="D93" i="15"/>
  <c r="D95" i="15" s="1"/>
  <c r="K93" i="15"/>
  <c r="K95" i="15" s="1"/>
  <c r="D256" i="15"/>
  <c r="C81" i="15"/>
  <c r="C83" i="15" s="1"/>
  <c r="D80" i="15"/>
  <c r="D81" i="15" s="1"/>
  <c r="D83" i="15" s="1"/>
  <c r="B93" i="15"/>
  <c r="B95" i="15" s="1"/>
  <c r="E92" i="15"/>
  <c r="E94" i="15"/>
  <c r="B199" i="15"/>
  <c r="B200" i="15"/>
  <c r="K91" i="15"/>
  <c r="K92" i="15" s="1"/>
  <c r="L93" i="15"/>
  <c r="L95" i="15"/>
  <c r="K197" i="15"/>
  <c r="J197" i="15"/>
  <c r="I197" i="15"/>
  <c r="K213" i="15"/>
  <c r="J213" i="15"/>
  <c r="I213" i="15"/>
  <c r="B82" i="15"/>
  <c r="D215" i="15"/>
  <c r="D216" i="15" s="1"/>
  <c r="D122" i="15"/>
  <c r="D123" i="15" s="1"/>
  <c r="B91" i="15"/>
  <c r="E93" i="15"/>
  <c r="E95" i="15" s="1"/>
  <c r="I130" i="15"/>
  <c r="I131" i="15" s="1"/>
  <c r="J91" i="15"/>
  <c r="J92" i="15" s="1"/>
  <c r="J94" i="15" s="1"/>
  <c r="K130" i="15"/>
  <c r="K131" i="15" s="1"/>
  <c r="L79" i="15"/>
  <c r="L78" i="15"/>
  <c r="K78" i="15"/>
  <c r="K80" i="15" s="1"/>
  <c r="J78" i="15"/>
  <c r="J80" i="15" s="1"/>
  <c r="I79" i="15"/>
  <c r="I78" i="15"/>
  <c r="I80" i="15" s="1"/>
  <c r="K79" i="15"/>
  <c r="J79" i="15"/>
  <c r="E81" i="15"/>
  <c r="E83" i="15" s="1"/>
  <c r="C122" i="15"/>
  <c r="C123" i="15" s="1"/>
  <c r="D199" i="15"/>
  <c r="D200" i="15"/>
  <c r="K256" i="15"/>
  <c r="B215" i="15"/>
  <c r="B216" i="15" s="1"/>
  <c r="E122" i="15"/>
  <c r="E123" i="15" s="1"/>
  <c r="J69" i="15"/>
  <c r="J71" i="15" s="1"/>
  <c r="C92" i="15"/>
  <c r="C94" i="15" s="1"/>
  <c r="J129" i="15"/>
  <c r="J130" i="15" s="1"/>
  <c r="I92" i="15"/>
  <c r="I94" i="15" s="1"/>
  <c r="B84" i="15" l="1"/>
  <c r="L7" i="15"/>
  <c r="I7" i="15"/>
  <c r="I9" i="15" s="1"/>
  <c r="K10" i="15"/>
  <c r="L10" i="15"/>
  <c r="K115" i="15"/>
  <c r="J10" i="15"/>
  <c r="J12" i="15" s="1"/>
  <c r="J14" i="15" s="1"/>
  <c r="K7" i="15"/>
  <c r="K9" i="15" s="1"/>
  <c r="I10" i="15"/>
  <c r="L44" i="15"/>
  <c r="L46" i="15" s="1"/>
  <c r="K44" i="15"/>
  <c r="K46" i="15"/>
  <c r="C44" i="15"/>
  <c r="C46" i="15"/>
  <c r="C12" i="15"/>
  <c r="C14" i="15" s="1"/>
  <c r="D41" i="15"/>
  <c r="I44" i="15"/>
  <c r="I46" i="15" s="1"/>
  <c r="J44" i="15"/>
  <c r="J46" i="15" s="1"/>
  <c r="B12" i="15"/>
  <c r="B14" i="15" s="1"/>
  <c r="E41" i="15"/>
  <c r="B44" i="15"/>
  <c r="B46" i="15"/>
  <c r="D9" i="15"/>
  <c r="E12" i="15"/>
  <c r="E14" i="15" s="1"/>
  <c r="D92" i="15"/>
  <c r="D94" i="15" s="1"/>
  <c r="J131" i="15"/>
  <c r="I69" i="15"/>
  <c r="I71" i="15" s="1"/>
  <c r="K69" i="15"/>
  <c r="K71" i="15" s="1"/>
  <c r="L69" i="15"/>
  <c r="L71" i="15" s="1"/>
  <c r="D207" i="15"/>
  <c r="D208" i="15" s="1"/>
  <c r="C191" i="15"/>
  <c r="C192" i="15" s="1"/>
  <c r="J82" i="15"/>
  <c r="J84" i="15" s="1"/>
  <c r="B191" i="15"/>
  <c r="B192" i="15" s="1"/>
  <c r="K82" i="15"/>
  <c r="K84" i="15" s="1"/>
  <c r="L82" i="15"/>
  <c r="L84" i="15" s="1"/>
  <c r="K199" i="15"/>
  <c r="K200" i="15" s="1"/>
  <c r="I81" i="15"/>
  <c r="I83" i="15" s="1"/>
  <c r="D191" i="15"/>
  <c r="D192" i="15" s="1"/>
  <c r="E69" i="15"/>
  <c r="I207" i="15"/>
  <c r="I208" i="15" s="1"/>
  <c r="D69" i="15"/>
  <c r="D71" i="15" s="1"/>
  <c r="I191" i="15"/>
  <c r="I192" i="15" s="1"/>
  <c r="I199" i="15"/>
  <c r="I200" i="15" s="1"/>
  <c r="C207" i="15"/>
  <c r="C208" i="15" s="1"/>
  <c r="J199" i="15"/>
  <c r="J200" i="15" s="1"/>
  <c r="I82" i="15"/>
  <c r="I84" i="15" s="1"/>
  <c r="I215" i="15"/>
  <c r="I216" i="15" s="1"/>
  <c r="K94" i="15"/>
  <c r="B92" i="15"/>
  <c r="B94" i="15" s="1"/>
  <c r="J207" i="15"/>
  <c r="J208" i="15" s="1"/>
  <c r="B69" i="15"/>
  <c r="B71" i="15" s="1"/>
  <c r="J191" i="15"/>
  <c r="J192" i="15" s="1"/>
  <c r="K215" i="15"/>
  <c r="K216" i="15" s="1"/>
  <c r="K81" i="15"/>
  <c r="K83" i="15" s="1"/>
  <c r="L81" i="15"/>
  <c r="L83" i="15" s="1"/>
  <c r="J81" i="15"/>
  <c r="J83" i="15" s="1"/>
  <c r="J215" i="15"/>
  <c r="J216" i="15" s="1"/>
  <c r="B207" i="15"/>
  <c r="B208" i="15" s="1"/>
  <c r="K207" i="15"/>
  <c r="K208" i="15" s="1"/>
  <c r="C69" i="15"/>
  <c r="C71" i="15" s="1"/>
  <c r="K191" i="15"/>
  <c r="K192" i="15"/>
  <c r="I12" i="15" l="1"/>
  <c r="I14" i="15" s="1"/>
  <c r="K12" i="15"/>
  <c r="K14" i="15" s="1"/>
  <c r="L12" i="15"/>
  <c r="L14" i="15" s="1"/>
  <c r="D12" i="15"/>
  <c r="D14" i="15" s="1"/>
  <c r="E44" i="15"/>
  <c r="E46" i="15" s="1"/>
  <c r="D44" i="15"/>
  <c r="D46" i="15" s="1"/>
  <c r="E71" i="15"/>
  <c r="BK64" i="12" l="1"/>
  <c r="CJ64" i="12" s="1"/>
  <c r="BK65" i="12"/>
  <c r="CJ65" i="12" s="1"/>
  <c r="BK66" i="12"/>
  <c r="CJ66" i="12" s="1"/>
  <c r="BK67" i="12"/>
  <c r="CJ67" i="12" s="1"/>
  <c r="BK68" i="12"/>
  <c r="CJ68" i="12" s="1"/>
  <c r="BK69" i="12"/>
  <c r="CJ69" i="12" s="1"/>
  <c r="BK70" i="12"/>
  <c r="CJ70" i="12" s="1"/>
  <c r="BK71" i="12"/>
  <c r="CJ71" i="12" s="1"/>
  <c r="BK72" i="12"/>
  <c r="CJ72" i="12" s="1"/>
  <c r="BK73" i="12"/>
  <c r="CJ73" i="12" s="1"/>
  <c r="BK74" i="12"/>
  <c r="CJ74" i="12" s="1"/>
  <c r="BK75" i="12"/>
  <c r="CJ75" i="12" s="1"/>
  <c r="BK63" i="12"/>
  <c r="CJ63" i="12" s="1"/>
  <c r="DK73" i="12"/>
  <c r="DG73" i="12" s="1"/>
  <c r="DK74" i="12"/>
  <c r="DG74" i="12" s="1"/>
  <c r="DK75" i="12"/>
  <c r="DG75" i="12" s="1"/>
  <c r="DK72" i="12"/>
  <c r="DG72" i="12" s="1"/>
  <c r="AM76" i="12" l="1"/>
  <c r="BK76" i="12"/>
  <c r="CJ76" i="12" s="1"/>
  <c r="P46" i="4"/>
  <c r="J28" i="1" s="1"/>
  <c r="EN1" i="1"/>
  <c r="FY3" i="1" s="1"/>
  <c r="BL4" i="1"/>
  <c r="I8" i="14" l="1"/>
  <c r="AM75" i="12"/>
  <c r="AJ32" i="2"/>
  <c r="AF32" i="2"/>
  <c r="O32" i="2"/>
  <c r="I38" i="2"/>
  <c r="BV5" i="2"/>
  <c r="K45" i="1" l="1"/>
  <c r="I34" i="2"/>
  <c r="I33" i="2"/>
  <c r="K5" i="1" l="1"/>
  <c r="N14" i="1"/>
  <c r="O46" i="4"/>
  <c r="O45" i="4" s="1"/>
  <c r="O48" i="4" l="1"/>
  <c r="O49" i="4"/>
  <c r="K31" i="2"/>
  <c r="K28" i="2"/>
  <c r="K29" i="2"/>
  <c r="K30" i="2"/>
  <c r="ET58" i="1"/>
  <c r="AC57" i="1"/>
  <c r="AC67" i="1" s="1"/>
  <c r="Z69" i="1"/>
  <c r="S32" i="2"/>
  <c r="A32" i="2"/>
  <c r="AJ33" i="2"/>
  <c r="AJ34" i="2"/>
  <c r="AF33" i="2"/>
  <c r="AF34" i="2"/>
  <c r="AD33" i="2"/>
  <c r="AD34" i="2"/>
  <c r="AA33" i="2"/>
  <c r="AA34" i="2"/>
  <c r="S33" i="2"/>
  <c r="S34" i="2"/>
  <c r="Q33" i="2"/>
  <c r="Q34" i="2"/>
  <c r="O33" i="2"/>
  <c r="O34" i="2"/>
  <c r="AB3" i="1"/>
  <c r="AD32" i="2" l="1"/>
  <c r="AA32" i="2"/>
  <c r="Q32" i="2"/>
  <c r="BN2" i="13"/>
  <c r="BN3" i="13" s="1"/>
  <c r="BM2" i="13"/>
  <c r="J4" i="3"/>
  <c r="FY46" i="1"/>
  <c r="CD11" i="1"/>
  <c r="A28" i="2"/>
  <c r="D28" i="2"/>
  <c r="D29" i="2"/>
  <c r="D30" i="2"/>
  <c r="D31" i="2"/>
  <c r="A34" i="2"/>
  <c r="A33" i="2"/>
  <c r="BL5" i="1"/>
  <c r="BL6" i="1"/>
  <c r="BL7" i="1"/>
  <c r="BL8" i="1"/>
  <c r="BL9" i="1"/>
  <c r="BL10" i="1"/>
  <c r="BL11" i="1"/>
  <c r="BL12" i="1"/>
  <c r="BL13" i="1"/>
  <c r="BL14" i="1"/>
  <c r="BL15" i="1"/>
  <c r="BK5" i="1"/>
  <c r="BK6" i="1"/>
  <c r="BK7" i="1"/>
  <c r="BK8" i="1"/>
  <c r="BK9" i="1"/>
  <c r="BK10" i="1"/>
  <c r="BM10" i="1" s="1"/>
  <c r="BK11" i="1"/>
  <c r="BK12" i="1"/>
  <c r="BK13" i="1"/>
  <c r="BK14" i="1"/>
  <c r="BK15" i="1"/>
  <c r="BK4" i="1"/>
  <c r="B44" i="1"/>
  <c r="B42" i="1"/>
  <c r="EW61" i="1"/>
  <c r="EV60" i="1"/>
  <c r="GH4" i="1"/>
  <c r="GH5" i="1"/>
  <c r="GH3" i="1"/>
  <c r="GF7" i="1"/>
  <c r="GH7" i="1" s="1"/>
  <c r="GF8" i="1"/>
  <c r="GH8" i="1" s="1"/>
  <c r="GF9" i="1"/>
  <c r="GH9" i="1" s="1"/>
  <c r="GF10" i="1"/>
  <c r="GH10" i="1" s="1"/>
  <c r="GF6" i="1"/>
  <c r="GH6" i="1" s="1"/>
  <c r="ET2" i="1"/>
  <c r="CH11" i="1" l="1"/>
  <c r="FZ46" i="1" s="1"/>
  <c r="CG11" i="1"/>
  <c r="I7" i="14"/>
  <c r="AM74" i="12"/>
  <c r="E68" i="12"/>
  <c r="F68" i="12" s="1"/>
  <c r="E63" i="12"/>
  <c r="D72" i="12"/>
  <c r="BL72" i="12" s="1"/>
  <c r="BL68" i="12"/>
  <c r="E69" i="12"/>
  <c r="D65" i="12"/>
  <c r="BL65" i="12" s="1"/>
  <c r="D73" i="12"/>
  <c r="BL73" i="12" s="1"/>
  <c r="E72" i="12"/>
  <c r="D70" i="12"/>
  <c r="BL70" i="12" s="1"/>
  <c r="D71" i="12"/>
  <c r="BL71" i="12" s="1"/>
  <c r="E70" i="12"/>
  <c r="D66" i="12"/>
  <c r="BL66" i="12" s="1"/>
  <c r="D74" i="12"/>
  <c r="BL74" i="12" s="1"/>
  <c r="D63" i="12"/>
  <c r="E71" i="12"/>
  <c r="D67" i="12"/>
  <c r="BL67" i="12" s="1"/>
  <c r="D75" i="12"/>
  <c r="BL75" i="12" s="1"/>
  <c r="E64" i="12"/>
  <c r="E67" i="12"/>
  <c r="E65" i="12"/>
  <c r="E73" i="12"/>
  <c r="D69" i="12"/>
  <c r="BL69" i="12" s="1"/>
  <c r="D64" i="12"/>
  <c r="BL64" i="12" s="1"/>
  <c r="E66" i="12"/>
  <c r="BM4" i="1"/>
  <c r="BS4" i="1" s="1"/>
  <c r="BM8" i="1"/>
  <c r="BO8" i="1" s="1"/>
  <c r="BM15" i="1"/>
  <c r="BO15" i="1" s="1"/>
  <c r="BM7" i="1"/>
  <c r="BO7" i="1" s="1"/>
  <c r="BM14" i="1"/>
  <c r="BO14" i="1" s="1"/>
  <c r="BM6" i="1"/>
  <c r="BO6" i="1" s="1"/>
  <c r="BM9" i="1"/>
  <c r="BO9" i="1" s="1"/>
  <c r="BM13" i="1"/>
  <c r="BO13" i="1" s="1"/>
  <c r="BM5" i="1"/>
  <c r="BO5" i="1" s="1"/>
  <c r="BO10" i="1"/>
  <c r="BM12" i="1"/>
  <c r="BO12" i="1" s="1"/>
  <c r="BM11" i="1"/>
  <c r="BO11" i="1" s="1"/>
  <c r="A29" i="2"/>
  <c r="A31" i="2"/>
  <c r="A30" i="2"/>
  <c r="G12" i="8"/>
  <c r="G14" i="8"/>
  <c r="BL63" i="12" l="1"/>
  <c r="BM63" i="12" s="1"/>
  <c r="D77" i="12"/>
  <c r="F65" i="12"/>
  <c r="F64" i="12"/>
  <c r="F70" i="12"/>
  <c r="F73" i="12"/>
  <c r="F63" i="12"/>
  <c r="F72" i="12"/>
  <c r="F66" i="12"/>
  <c r="F71" i="12"/>
  <c r="F67" i="12"/>
  <c r="F69" i="12"/>
  <c r="BU70" i="12"/>
  <c r="BX70" i="12"/>
  <c r="BO69" i="12"/>
  <c r="BS69" i="12" s="1"/>
  <c r="BP69" i="12"/>
  <c r="BN69" i="12"/>
  <c r="BR69" i="12" s="1"/>
  <c r="BM69" i="12"/>
  <c r="BQ69" i="12" s="1"/>
  <c r="BX74" i="12"/>
  <c r="BP74" i="12"/>
  <c r="BM74" i="12"/>
  <c r="BQ74" i="12" s="1"/>
  <c r="BV74" i="12"/>
  <c r="BN74" i="12"/>
  <c r="BR74" i="12" s="1"/>
  <c r="BW74" i="12"/>
  <c r="BO74" i="12"/>
  <c r="BS74" i="12" s="1"/>
  <c r="BU74" i="12"/>
  <c r="BM66" i="12"/>
  <c r="BQ66" i="12" s="1"/>
  <c r="BP66" i="12"/>
  <c r="BT66" i="12" s="1"/>
  <c r="BN66" i="12"/>
  <c r="BR66" i="12" s="1"/>
  <c r="BO66" i="12"/>
  <c r="BS66" i="12" s="1"/>
  <c r="BX72" i="12"/>
  <c r="BP72" i="12"/>
  <c r="BM72" i="12"/>
  <c r="BQ72" i="12" s="1"/>
  <c r="BN72" i="12"/>
  <c r="BR72" i="12" s="1"/>
  <c r="BV72" i="12"/>
  <c r="BW72" i="12"/>
  <c r="BO72" i="12"/>
  <c r="BS72" i="12" s="1"/>
  <c r="BU72" i="12"/>
  <c r="BM75" i="12"/>
  <c r="BQ75" i="12" s="1"/>
  <c r="BP75" i="12"/>
  <c r="BU75" i="12"/>
  <c r="BX75" i="12"/>
  <c r="BW75" i="12"/>
  <c r="BV75" i="12"/>
  <c r="BN75" i="12"/>
  <c r="BR75" i="12" s="1"/>
  <c r="BO75" i="12"/>
  <c r="BS75" i="12" s="1"/>
  <c r="BN71" i="12"/>
  <c r="BR71" i="12" s="1"/>
  <c r="BM71" i="12"/>
  <c r="BQ71" i="12" s="1"/>
  <c r="BX71" i="12"/>
  <c r="BW71" i="12"/>
  <c r="BV71" i="12"/>
  <c r="BU71" i="12"/>
  <c r="BO71" i="12"/>
  <c r="BS71" i="12" s="1"/>
  <c r="BP71" i="12"/>
  <c r="BO73" i="12"/>
  <c r="BS73" i="12" s="1"/>
  <c r="BX73" i="12"/>
  <c r="BW73" i="12"/>
  <c r="BV73" i="12"/>
  <c r="BM73" i="12"/>
  <c r="BQ73" i="12" s="1"/>
  <c r="BU73" i="12"/>
  <c r="BN73" i="12"/>
  <c r="BR73" i="12" s="1"/>
  <c r="BP73" i="12"/>
  <c r="BN65" i="12"/>
  <c r="BR65" i="12" s="1"/>
  <c r="BO65" i="12"/>
  <c r="CA65" i="12" s="1"/>
  <c r="BP65" i="12"/>
  <c r="BT65" i="12" s="1"/>
  <c r="BM65" i="12"/>
  <c r="BQ65" i="12" s="1"/>
  <c r="BP68" i="12"/>
  <c r="BT68" i="12" s="1"/>
  <c r="BM68" i="12"/>
  <c r="BQ68" i="12" s="1"/>
  <c r="BO68" i="12"/>
  <c r="BS68" i="12" s="1"/>
  <c r="BN68" i="12"/>
  <c r="BR68" i="12" s="1"/>
  <c r="BP67" i="12"/>
  <c r="BT67" i="12" s="1"/>
  <c r="BO67" i="12"/>
  <c r="BS67" i="12" s="1"/>
  <c r="BN67" i="12"/>
  <c r="BR67" i="12" s="1"/>
  <c r="BM67" i="12"/>
  <c r="BQ67" i="12" s="1"/>
  <c r="BP70" i="12"/>
  <c r="BV70" i="12"/>
  <c r="BW70" i="12"/>
  <c r="BO70" i="12"/>
  <c r="BS70" i="12" s="1"/>
  <c r="BN70" i="12"/>
  <c r="BR70" i="12" s="1"/>
  <c r="BM70" i="12"/>
  <c r="BQ70" i="12" s="1"/>
  <c r="BO64" i="12"/>
  <c r="CA64" i="12" s="1"/>
  <c r="CE64" i="12" s="1"/>
  <c r="BN64" i="12"/>
  <c r="BM64" i="12"/>
  <c r="BP64" i="12"/>
  <c r="Q74" i="12"/>
  <c r="R74" i="12" s="1"/>
  <c r="Q72" i="12"/>
  <c r="Z72" i="12" s="1"/>
  <c r="Q75" i="12"/>
  <c r="T75" i="12" s="1"/>
  <c r="X75" i="12" s="1"/>
  <c r="Q73" i="12"/>
  <c r="BN7" i="1"/>
  <c r="BN9" i="1"/>
  <c r="BN8" i="1"/>
  <c r="BN11" i="1"/>
  <c r="BN12" i="1"/>
  <c r="BN14" i="1"/>
  <c r="BN15" i="1"/>
  <c r="BN10" i="1"/>
  <c r="BN13" i="1"/>
  <c r="BO4" i="1"/>
  <c r="BN4" i="1" s="1"/>
  <c r="BN6" i="1"/>
  <c r="AS13" i="5"/>
  <c r="I35" i="2"/>
  <c r="A35" i="2" s="1"/>
  <c r="K33" i="2"/>
  <c r="D33" i="2" s="1"/>
  <c r="EW62" i="1"/>
  <c r="K34" i="2"/>
  <c r="D34" i="2" s="1"/>
  <c r="K35" i="2"/>
  <c r="D35" i="2" s="1"/>
  <c r="DM2" i="1"/>
  <c r="BC16" i="5"/>
  <c r="DQ3" i="1"/>
  <c r="BP63" i="12" l="1"/>
  <c r="CB63" i="12" s="1"/>
  <c r="CF63" i="12" s="1"/>
  <c r="BN63" i="12"/>
  <c r="BZ63" i="12" s="1"/>
  <c r="CD63" i="12" s="1"/>
  <c r="BO63" i="12"/>
  <c r="CA63" i="12" s="1"/>
  <c r="CE63" i="12" s="1"/>
  <c r="U75" i="12"/>
  <c r="Y75" i="12" s="1"/>
  <c r="S75" i="12"/>
  <c r="W75" i="12" s="1"/>
  <c r="Z75" i="12"/>
  <c r="BS65" i="12"/>
  <c r="CE65" i="12" s="1"/>
  <c r="BY70" i="12"/>
  <c r="CC70" i="12" s="1"/>
  <c r="AA75" i="12"/>
  <c r="AC75" i="12"/>
  <c r="BY69" i="12"/>
  <c r="CC69" i="12" s="1"/>
  <c r="S74" i="12"/>
  <c r="W74" i="12" s="1"/>
  <c r="AB74" i="12"/>
  <c r="BY75" i="12"/>
  <c r="CC75" i="12" s="1"/>
  <c r="U74" i="12"/>
  <c r="Y74" i="12" s="1"/>
  <c r="BZ67" i="12"/>
  <c r="CD67" i="12" s="1"/>
  <c r="CA72" i="12"/>
  <c r="CE72" i="12" s="1"/>
  <c r="BZ66" i="12"/>
  <c r="CD66" i="12" s="1"/>
  <c r="Z74" i="12"/>
  <c r="V74" i="12"/>
  <c r="AA74" i="12"/>
  <c r="T74" i="12"/>
  <c r="X74" i="12" s="1"/>
  <c r="AC74" i="12"/>
  <c r="BZ69" i="12"/>
  <c r="CD69" i="12" s="1"/>
  <c r="BZ71" i="12"/>
  <c r="CD71" i="12" s="1"/>
  <c r="CB67" i="12"/>
  <c r="CF67" i="12" s="1"/>
  <c r="AB75" i="12"/>
  <c r="AF75" i="12" s="1"/>
  <c r="AJ75" i="12" s="1"/>
  <c r="CA70" i="12"/>
  <c r="CE70" i="12" s="1"/>
  <c r="T73" i="12"/>
  <c r="X73" i="12" s="1"/>
  <c r="R75" i="12"/>
  <c r="V75" i="12" s="1"/>
  <c r="AA73" i="12"/>
  <c r="BY67" i="12"/>
  <c r="CC67" i="12" s="1"/>
  <c r="CA68" i="12"/>
  <c r="CE68" i="12" s="1"/>
  <c r="BY74" i="12"/>
  <c r="CC74" i="12" s="1"/>
  <c r="CA69" i="12"/>
  <c r="CE69" i="12" s="1"/>
  <c r="BY64" i="12"/>
  <c r="CC64" i="12" s="1"/>
  <c r="BY68" i="12"/>
  <c r="CC68" i="12" s="1"/>
  <c r="BY66" i="12"/>
  <c r="CC66" i="12" s="1"/>
  <c r="BY63" i="12"/>
  <c r="CC63" i="12" s="1"/>
  <c r="CB68" i="12"/>
  <c r="CF68" i="12" s="1"/>
  <c r="BY71" i="12"/>
  <c r="CC71" i="12" s="1"/>
  <c r="CB71" i="12"/>
  <c r="CF71" i="12" s="1"/>
  <c r="BZ72" i="12"/>
  <c r="CD72" i="12" s="1"/>
  <c r="CA74" i="12"/>
  <c r="CE74" i="12" s="1"/>
  <c r="CB69" i="12"/>
  <c r="CF69" i="12" s="1"/>
  <c r="CA67" i="12"/>
  <c r="CE67" i="12" s="1"/>
  <c r="BZ65" i="12"/>
  <c r="CD65" i="12" s="1"/>
  <c r="BY73" i="12"/>
  <c r="CC73" i="12" s="1"/>
  <c r="CA71" i="12"/>
  <c r="CE71" i="12" s="1"/>
  <c r="CB75" i="12"/>
  <c r="CF75" i="12" s="1"/>
  <c r="BY72" i="12"/>
  <c r="CC72" i="12" s="1"/>
  <c r="CB66" i="12"/>
  <c r="CF66" i="12" s="1"/>
  <c r="BZ64" i="12"/>
  <c r="CD64" i="12" s="1"/>
  <c r="CB74" i="12"/>
  <c r="CF74" i="12" s="1"/>
  <c r="CB65" i="12"/>
  <c r="CF65" i="12" s="1"/>
  <c r="CB70" i="12"/>
  <c r="CF70" i="12" s="1"/>
  <c r="CA73" i="12"/>
  <c r="CE73" i="12" s="1"/>
  <c r="BZ73" i="12"/>
  <c r="CD73" i="12" s="1"/>
  <c r="CA66" i="12"/>
  <c r="CE66" i="12" s="1"/>
  <c r="BZ70" i="12"/>
  <c r="CD70" i="12" s="1"/>
  <c r="CA75" i="12"/>
  <c r="CE75" i="12" s="1"/>
  <c r="BZ74" i="12"/>
  <c r="CD74" i="12" s="1"/>
  <c r="BZ68" i="12"/>
  <c r="CD68" i="12" s="1"/>
  <c r="BY65" i="12"/>
  <c r="CC65" i="12" s="1"/>
  <c r="CB73" i="12"/>
  <c r="CF73" i="12" s="1"/>
  <c r="BZ75" i="12"/>
  <c r="CD75" i="12" s="1"/>
  <c r="CB64" i="12"/>
  <c r="CF64" i="12" s="1"/>
  <c r="CB72" i="12"/>
  <c r="CF72" i="12" s="1"/>
  <c r="R73" i="12"/>
  <c r="V73" i="12" s="1"/>
  <c r="AB73" i="12"/>
  <c r="S73" i="12"/>
  <c r="W73" i="12" s="1"/>
  <c r="AC73" i="12"/>
  <c r="U73" i="12"/>
  <c r="Y73" i="12" s="1"/>
  <c r="Z73" i="12"/>
  <c r="S72" i="12"/>
  <c r="W72" i="12" s="1"/>
  <c r="R72" i="12"/>
  <c r="V72" i="12" s="1"/>
  <c r="U72" i="12"/>
  <c r="Y72" i="12" s="1"/>
  <c r="T72" i="12"/>
  <c r="X72" i="12" s="1"/>
  <c r="BN5" i="1"/>
  <c r="AD35" i="2"/>
  <c r="H8" i="9"/>
  <c r="R14" i="4"/>
  <c r="AE75" i="12" l="1"/>
  <c r="AI75" i="12" s="1"/>
  <c r="AG75" i="12"/>
  <c r="AK75" i="12" s="1"/>
  <c r="AF74" i="12"/>
  <c r="AJ74" i="12" s="1"/>
  <c r="AG74" i="12"/>
  <c r="AK74" i="12" s="1"/>
  <c r="AE74" i="12"/>
  <c r="AI74" i="12" s="1"/>
  <c r="AD72" i="12"/>
  <c r="AH72" i="12" s="1"/>
  <c r="AD74" i="12"/>
  <c r="AH74" i="12" s="1"/>
  <c r="AG73" i="12"/>
  <c r="AK73" i="12" s="1"/>
  <c r="AD75" i="12"/>
  <c r="AH75" i="12" s="1"/>
  <c r="AF73" i="12"/>
  <c r="AJ73" i="12" s="1"/>
  <c r="AE73" i="12"/>
  <c r="AI73" i="12" s="1"/>
  <c r="AD73" i="12"/>
  <c r="AH73" i="12" s="1"/>
  <c r="AC72" i="12"/>
  <c r="AG72" i="12" s="1"/>
  <c r="AK72" i="12" s="1"/>
  <c r="AB72" i="12"/>
  <c r="AF72" i="12" s="1"/>
  <c r="AJ72" i="12" s="1"/>
  <c r="AA72" i="12"/>
  <c r="AE72" i="12" s="1"/>
  <c r="AI72" i="12" s="1"/>
  <c r="R28" i="4"/>
  <c r="N28" i="4"/>
  <c r="R27" i="4"/>
  <c r="N27" i="4"/>
  <c r="R26" i="4"/>
  <c r="N26" i="4"/>
  <c r="R25" i="4"/>
  <c r="S25" i="4" s="1"/>
  <c r="N25" i="4"/>
  <c r="R24" i="4"/>
  <c r="Q24" i="4" s="1"/>
  <c r="S24" i="4" s="1"/>
  <c r="N24" i="4"/>
  <c r="R23" i="4"/>
  <c r="Q23" i="4" s="1"/>
  <c r="S23" i="4" s="1"/>
  <c r="N23" i="4"/>
  <c r="R22" i="4"/>
  <c r="Q22" i="4" s="1"/>
  <c r="S22" i="4" s="1"/>
  <c r="N22" i="4"/>
  <c r="R21" i="4"/>
  <c r="N21" i="4"/>
  <c r="R20" i="4"/>
  <c r="N20" i="4"/>
  <c r="R19" i="4"/>
  <c r="N19" i="4"/>
  <c r="R18" i="4"/>
  <c r="N18" i="4"/>
  <c r="R17" i="4"/>
  <c r="N17" i="4"/>
  <c r="R16" i="4"/>
  <c r="N16" i="4"/>
  <c r="R15" i="4"/>
  <c r="N15" i="4"/>
  <c r="N14" i="4"/>
  <c r="R13" i="4"/>
  <c r="N13" i="4"/>
  <c r="R12" i="4"/>
  <c r="N12" i="4"/>
  <c r="R11" i="4"/>
  <c r="N11" i="4"/>
  <c r="R10" i="4"/>
  <c r="S10" i="4" s="1"/>
  <c r="N10" i="4"/>
  <c r="R9" i="4"/>
  <c r="R8" i="4"/>
  <c r="R7" i="4"/>
  <c r="N7" i="4"/>
  <c r="Q25" i="4" l="1"/>
  <c r="AP6" i="2"/>
  <c r="GB28" i="1" l="1"/>
  <c r="GB29" i="1"/>
  <c r="BM3" i="13"/>
  <c r="AJ2" i="2"/>
  <c r="AJ4" i="2"/>
  <c r="AJ5" i="2" s="1"/>
  <c r="AJ6" i="2"/>
  <c r="W4" i="3" s="1"/>
  <c r="GF26" i="1"/>
  <c r="GF27" i="1" s="1"/>
  <c r="GF28" i="1" s="1"/>
  <c r="GF29" i="1" s="1"/>
  <c r="GF25" i="1"/>
  <c r="BL6" i="2"/>
  <c r="AD6" i="2"/>
  <c r="Q4" i="3" l="1"/>
  <c r="AA4" i="3"/>
  <c r="DR2" i="1"/>
  <c r="DR3" i="1" s="1"/>
  <c r="FZ42" i="1" l="1"/>
  <c r="CM21" i="1" l="1"/>
  <c r="M13" i="1"/>
  <c r="M14" i="1" s="1"/>
  <c r="CH5" i="1"/>
  <c r="X6" i="2"/>
  <c r="CD12" i="1" l="1"/>
  <c r="O5" i="9"/>
  <c r="CD13" i="1" l="1"/>
  <c r="CH12" i="1"/>
  <c r="CG12" i="1"/>
  <c r="BJ6" i="2"/>
  <c r="BK6" i="2"/>
  <c r="BI6" i="2"/>
  <c r="GE26" i="1"/>
  <c r="GE27" i="1" s="1"/>
  <c r="GE28" i="1" s="1"/>
  <c r="GE29" i="1" s="1"/>
  <c r="GD26" i="1"/>
  <c r="GD27" i="1" s="1"/>
  <c r="GD28" i="1" s="1"/>
  <c r="GD29" i="1" s="1"/>
  <c r="GE25" i="1"/>
  <c r="GD25" i="1"/>
  <c r="FZ26" i="1"/>
  <c r="FZ27" i="1" s="1"/>
  <c r="EQ58" i="1"/>
  <c r="CD14" i="1" l="1"/>
  <c r="CH13" i="1"/>
  <c r="CG13" i="1"/>
  <c r="CM17" i="1"/>
  <c r="A4" i="1" s="1"/>
  <c r="CJ18" i="1"/>
  <c r="CM18" i="1" s="1"/>
  <c r="CW4" i="1" s="1"/>
  <c r="CK18" i="1"/>
  <c r="CL18" i="1"/>
  <c r="CJ28" i="1"/>
  <c r="CK28" i="1"/>
  <c r="CL28" i="1"/>
  <c r="EO79" i="1"/>
  <c r="A26" i="2" s="1"/>
  <c r="D3" i="13"/>
  <c r="K26" i="2"/>
  <c r="D26" i="2" s="1"/>
  <c r="K27" i="2"/>
  <c r="D27" i="2" s="1"/>
  <c r="K32" i="2"/>
  <c r="D32" i="2" s="1"/>
  <c r="K25" i="2"/>
  <c r="AB6" i="2"/>
  <c r="BG6" i="2" s="1"/>
  <c r="AC6" i="2"/>
  <c r="BH6" i="2" s="1"/>
  <c r="CD15" i="1" l="1"/>
  <c r="CH14" i="1"/>
  <c r="CG14" i="1"/>
  <c r="CV4" i="1"/>
  <c r="G5" i="2"/>
  <c r="AA6" i="2"/>
  <c r="BF6" i="2" s="1"/>
  <c r="Z6" i="2"/>
  <c r="M4" i="3" s="1"/>
  <c r="Y6" i="2"/>
  <c r="L4" i="3" s="1"/>
  <c r="CD16" i="1" l="1"/>
  <c r="CG15" i="1"/>
  <c r="CH15" i="1"/>
  <c r="CX1" i="1"/>
  <c r="FY29" i="1"/>
  <c r="GA29" i="1" s="1"/>
  <c r="V6" i="2"/>
  <c r="I4" i="3" s="1"/>
  <c r="U6" i="2"/>
  <c r="H4" i="3" s="1"/>
  <c r="U5" i="2"/>
  <c r="T5" i="2"/>
  <c r="T6" i="2"/>
  <c r="G4" i="3" s="1"/>
  <c r="CD17" i="1" l="1"/>
  <c r="CG16" i="1"/>
  <c r="CH16" i="1"/>
  <c r="GC29" i="1"/>
  <c r="F50" i="4"/>
  <c r="F48" i="4"/>
  <c r="EA3" i="1"/>
  <c r="CW5" i="1"/>
  <c r="CD18" i="1" l="1"/>
  <c r="CH17" i="1"/>
  <c r="CG17" i="1"/>
  <c r="EZ58" i="1"/>
  <c r="CD19" i="1" l="1"/>
  <c r="CG18" i="1"/>
  <c r="CH18" i="1"/>
  <c r="EY2" i="1"/>
  <c r="ER1" i="1"/>
  <c r="CD20" i="1" l="1"/>
  <c r="CG19" i="1"/>
  <c r="CH19" i="1"/>
  <c r="EP1" i="1"/>
  <c r="ER2" i="1"/>
  <c r="AB5" i="1" s="1"/>
  <c r="AA57" i="1" s="1"/>
  <c r="I27" i="5"/>
  <c r="AV21" i="5"/>
  <c r="EP60" i="1" l="1"/>
  <c r="EU1" i="1"/>
  <c r="EZ1" i="1" s="1"/>
  <c r="FE1" i="1" s="1"/>
  <c r="CD21" i="1"/>
  <c r="CH20" i="1"/>
  <c r="CG20" i="1"/>
  <c r="AM73" i="12"/>
  <c r="I6" i="14"/>
  <c r="EQ60" i="1"/>
  <c r="GA4" i="1"/>
  <c r="J56" i="6"/>
  <c r="F49" i="4"/>
  <c r="CD22" i="1" l="1"/>
  <c r="CH21" i="1"/>
  <c r="CG21" i="1"/>
  <c r="FF1" i="1"/>
  <c r="FJ1" i="1"/>
  <c r="FK1" i="1" s="1"/>
  <c r="AP4" i="2"/>
  <c r="AP5" i="2" s="1"/>
  <c r="AP2" i="2"/>
  <c r="AS21" i="5"/>
  <c r="AW49" i="5"/>
  <c r="AW50" i="5"/>
  <c r="P5" i="9" l="1"/>
  <c r="CH22" i="1"/>
  <c r="CG22" i="1"/>
  <c r="O18" i="5"/>
  <c r="B5" i="6"/>
  <c r="D4" i="5"/>
  <c r="D5" i="5"/>
  <c r="D55" i="6" l="1"/>
  <c r="C12" i="7"/>
  <c r="R29" i="4" l="1"/>
  <c r="S29" i="4" s="1"/>
  <c r="N29" i="4" l="1"/>
  <c r="R30" i="4"/>
  <c r="S30" i="4" s="1"/>
  <c r="N30" i="4" s="1"/>
  <c r="F6" i="12" l="1"/>
  <c r="H83" i="12"/>
  <c r="H82" i="12"/>
  <c r="F5" i="12"/>
  <c r="AM72" i="12" l="1"/>
  <c r="I5" i="14"/>
  <c r="AM68" i="12"/>
  <c r="AM69" i="12"/>
  <c r="AM70" i="12"/>
  <c r="AM71" i="12"/>
  <c r="CK69" i="12" l="1"/>
  <c r="CK64" i="12"/>
  <c r="CK63" i="12"/>
  <c r="CK65" i="12"/>
  <c r="CK70" i="12"/>
  <c r="CK67" i="12"/>
  <c r="CK68" i="12"/>
  <c r="CK66" i="12"/>
  <c r="CK71" i="12"/>
  <c r="CK72" i="12" l="1"/>
  <c r="AN72" i="12"/>
  <c r="CM63" i="12"/>
  <c r="CO63" i="12"/>
  <c r="DA63" i="12" s="1"/>
  <c r="DE63" i="12" s="1"/>
  <c r="CN63" i="12"/>
  <c r="CZ63" i="12" s="1"/>
  <c r="DD63" i="12" s="1"/>
  <c r="CL63" i="12"/>
  <c r="CT71" i="12"/>
  <c r="CV71" i="12"/>
  <c r="CU71" i="12"/>
  <c r="CL71" i="12"/>
  <c r="CP71" i="12" s="1"/>
  <c r="CM71" i="12"/>
  <c r="CQ71" i="12" s="1"/>
  <c r="CW71" i="12"/>
  <c r="CN71" i="12"/>
  <c r="CR71" i="12" s="1"/>
  <c r="CO71" i="12"/>
  <c r="DA71" i="12" s="1"/>
  <c r="CY71" i="12" l="1"/>
  <c r="DC71" i="12" s="1"/>
  <c r="CX63" i="12"/>
  <c r="DB63" i="12" s="1"/>
  <c r="CX71" i="12"/>
  <c r="DB71" i="12" s="1"/>
  <c r="CO66" i="12"/>
  <c r="CS66" i="12" s="1"/>
  <c r="CN66" i="12"/>
  <c r="CR66" i="12" s="1"/>
  <c r="CM66" i="12"/>
  <c r="CQ66" i="12" s="1"/>
  <c r="CL66" i="12"/>
  <c r="CP66" i="12" s="1"/>
  <c r="CU70" i="12"/>
  <c r="CV70" i="12"/>
  <c r="CM70" i="12"/>
  <c r="CQ70" i="12" s="1"/>
  <c r="CL70" i="12"/>
  <c r="CW70" i="12"/>
  <c r="CT70" i="12"/>
  <c r="CO70" i="12"/>
  <c r="CN70" i="12"/>
  <c r="CR70" i="12" s="1"/>
  <c r="AW72" i="12"/>
  <c r="CY63" i="12"/>
  <c r="DC63" i="12" s="1"/>
  <c r="DE71" i="12"/>
  <c r="CO67" i="12"/>
  <c r="CS67" i="12" s="1"/>
  <c r="CN67" i="12"/>
  <c r="CR67" i="12" s="1"/>
  <c r="CM67" i="12"/>
  <c r="CQ67" i="12" s="1"/>
  <c r="CL67" i="12"/>
  <c r="CP67" i="12" s="1"/>
  <c r="CM69" i="12"/>
  <c r="CQ69" i="12" s="1"/>
  <c r="CL69" i="12"/>
  <c r="CP69" i="12" s="1"/>
  <c r="CN69" i="12"/>
  <c r="CR69" i="12" s="1"/>
  <c r="CO69" i="12"/>
  <c r="CM64" i="12"/>
  <c r="CL64" i="12"/>
  <c r="CX64" i="12" s="1"/>
  <c r="DB64" i="12" s="1"/>
  <c r="CN64" i="12"/>
  <c r="CO64" i="12"/>
  <c r="CL68" i="12"/>
  <c r="CP68" i="12" s="1"/>
  <c r="CN68" i="12"/>
  <c r="CR68" i="12" s="1"/>
  <c r="CM68" i="12"/>
  <c r="CQ68" i="12" s="1"/>
  <c r="CO68" i="12"/>
  <c r="CS68" i="12" s="1"/>
  <c r="CU72" i="12"/>
  <c r="CT72" i="12"/>
  <c r="CO72" i="12"/>
  <c r="CN72" i="12"/>
  <c r="CM72" i="12"/>
  <c r="CW72" i="12"/>
  <c r="CV72" i="12"/>
  <c r="CL72" i="12"/>
  <c r="CO65" i="12"/>
  <c r="CS65" i="12" s="1"/>
  <c r="CN65" i="12"/>
  <c r="CZ65" i="12" s="1"/>
  <c r="CM65" i="12"/>
  <c r="CY65" i="12" s="1"/>
  <c r="CL65" i="12"/>
  <c r="CX65" i="12" s="1"/>
  <c r="CZ71" i="12"/>
  <c r="DD71" i="12" s="1"/>
  <c r="N32" i="4"/>
  <c r="N31" i="4"/>
  <c r="CP65" i="12" l="1"/>
  <c r="DB65" i="12" s="1"/>
  <c r="CQ65" i="12"/>
  <c r="DC65" i="12" s="1"/>
  <c r="CR65" i="12"/>
  <c r="DD65" i="12" s="1"/>
  <c r="DA67" i="12"/>
  <c r="DE67" i="12" s="1"/>
  <c r="CX68" i="12"/>
  <c r="DB68" i="12" s="1"/>
  <c r="CZ67" i="12"/>
  <c r="DD67" i="12" s="1"/>
  <c r="CY67" i="12"/>
  <c r="DC67" i="12" s="1"/>
  <c r="CX69" i="12"/>
  <c r="DB69" i="12" s="1"/>
  <c r="CZ66" i="12"/>
  <c r="DD66" i="12" s="1"/>
  <c r="CY68" i="12"/>
  <c r="DC68" i="12" s="1"/>
  <c r="CZ70" i="12"/>
  <c r="DD70" i="12" s="1"/>
  <c r="AR72" i="12"/>
  <c r="AV72" i="12" s="1"/>
  <c r="CR72" i="12"/>
  <c r="CZ72" i="12" s="1"/>
  <c r="DD72" i="12" s="1"/>
  <c r="CY70" i="12"/>
  <c r="DC70" i="12" s="1"/>
  <c r="AO72" i="12"/>
  <c r="AS72" i="12" s="1"/>
  <c r="DA65" i="12"/>
  <c r="DE65" i="12" s="1"/>
  <c r="DA69" i="12"/>
  <c r="DE69" i="12" s="1"/>
  <c r="AP72" i="12"/>
  <c r="AT72" i="12" s="1"/>
  <c r="AY72" i="12"/>
  <c r="CZ69" i="12"/>
  <c r="DD69" i="12" s="1"/>
  <c r="CX67" i="12"/>
  <c r="DB67" i="12" s="1"/>
  <c r="AQ72" i="12"/>
  <c r="AU72" i="12" s="1"/>
  <c r="AZ72" i="12"/>
  <c r="DA66" i="12"/>
  <c r="DE66" i="12" s="1"/>
  <c r="DA72" i="12"/>
  <c r="DE72" i="12" s="1"/>
  <c r="DA70" i="12"/>
  <c r="DE70" i="12" s="1"/>
  <c r="CP72" i="12"/>
  <c r="CX72" i="12" s="1"/>
  <c r="DB72" i="12" s="1"/>
  <c r="CZ68" i="12"/>
  <c r="DD68" i="12" s="1"/>
  <c r="CY69" i="12"/>
  <c r="DC69" i="12" s="1"/>
  <c r="CX66" i="12"/>
  <c r="DB66" i="12" s="1"/>
  <c r="CZ64" i="12"/>
  <c r="DD64" i="12" s="1"/>
  <c r="CQ72" i="12"/>
  <c r="CY72" i="12" s="1"/>
  <c r="DC72" i="12" s="1"/>
  <c r="CY64" i="12"/>
  <c r="DC64" i="12" s="1"/>
  <c r="AX72" i="12"/>
  <c r="DA68" i="12"/>
  <c r="DE68" i="12" s="1"/>
  <c r="DA64" i="12"/>
  <c r="DE64" i="12" s="1"/>
  <c r="CP70" i="12"/>
  <c r="CX70" i="12" s="1"/>
  <c r="DB70" i="12" s="1"/>
  <c r="CY66" i="12"/>
  <c r="DC66" i="12" s="1"/>
  <c r="BA72" i="12" l="1"/>
  <c r="BE72" i="12" s="1"/>
  <c r="BB72" i="12"/>
  <c r="BF72" i="12" s="1"/>
  <c r="BD72" i="12"/>
  <c r="BH72" i="12" s="1"/>
  <c r="BC72" i="12"/>
  <c r="BG72" i="12" s="1"/>
  <c r="A18" i="11"/>
  <c r="J13" i="6"/>
  <c r="F25" i="4"/>
  <c r="C25" i="4" s="1"/>
  <c r="AW8" i="5" l="1"/>
  <c r="AW9" i="5"/>
  <c r="AW10" i="5"/>
  <c r="AW11" i="5"/>
  <c r="AW13" i="5"/>
  <c r="AW14" i="5"/>
  <c r="AW15" i="5"/>
  <c r="AW17" i="5"/>
  <c r="AW18" i="5"/>
  <c r="AW20" i="5"/>
  <c r="AW22" i="5"/>
  <c r="AW23" i="5"/>
  <c r="AW24" i="5"/>
  <c r="AW28" i="5"/>
  <c r="AW29" i="5"/>
  <c r="AW30" i="5"/>
  <c r="AW31" i="5"/>
  <c r="AW32" i="5"/>
  <c r="AW33" i="5"/>
  <c r="AW34" i="5"/>
  <c r="AW35" i="5"/>
  <c r="AW36" i="5"/>
  <c r="AW37" i="5"/>
  <c r="AW38" i="5"/>
  <c r="AW39" i="5"/>
  <c r="AW40" i="5"/>
  <c r="AW41" i="5"/>
  <c r="AW42" i="5"/>
  <c r="AW43" i="5"/>
  <c r="AW44" i="5"/>
  <c r="AW45" i="5"/>
  <c r="AW46" i="5"/>
  <c r="AW47" i="5"/>
  <c r="AW48" i="5"/>
  <c r="AW7" i="5"/>
  <c r="AR26" i="5" l="1"/>
  <c r="AV26" i="5"/>
  <c r="AR25" i="5"/>
  <c r="AL50" i="5"/>
  <c r="AL49" i="5"/>
  <c r="AH39" i="5"/>
  <c r="AH40" i="5"/>
  <c r="G5" i="5"/>
  <c r="J5" i="5"/>
  <c r="J4" i="5"/>
  <c r="G4" i="5"/>
  <c r="H23" i="9"/>
  <c r="C18" i="9"/>
  <c r="AI44" i="5" l="1"/>
  <c r="DI60" i="12" s="1"/>
  <c r="AS27" i="5"/>
  <c r="AV25" i="5"/>
  <c r="J26" i="5"/>
  <c r="B5" i="8"/>
  <c r="B4" i="8"/>
  <c r="B50" i="8"/>
  <c r="D41" i="8"/>
  <c r="D39" i="8"/>
  <c r="D30" i="8"/>
  <c r="D31" i="8"/>
  <c r="D29" i="8"/>
  <c r="H16" i="8"/>
  <c r="B52" i="8"/>
  <c r="B51" i="8"/>
  <c r="H53" i="8"/>
  <c r="B53" i="8"/>
  <c r="DB5" i="1"/>
  <c r="DH73" i="12" l="1"/>
  <c r="G73" i="12" s="1"/>
  <c r="DH75" i="12"/>
  <c r="G75" i="12" s="1"/>
  <c r="DI65" i="12"/>
  <c r="H65" i="12" s="1"/>
  <c r="DH71" i="12"/>
  <c r="G71" i="12" s="1"/>
  <c r="DI67" i="12"/>
  <c r="H67" i="12" s="1"/>
  <c r="DI63" i="12"/>
  <c r="H63" i="12" s="1"/>
  <c r="DI70" i="12"/>
  <c r="H70" i="12" s="1"/>
  <c r="DH66" i="12"/>
  <c r="G66" i="12" s="1"/>
  <c r="DI66" i="12"/>
  <c r="H66" i="12" s="1"/>
  <c r="DH64" i="12"/>
  <c r="G64" i="12" s="1"/>
  <c r="DH68" i="12"/>
  <c r="G68" i="12" s="1"/>
  <c r="DI64" i="12"/>
  <c r="H64" i="12" s="1"/>
  <c r="DH72" i="12"/>
  <c r="G72" i="12" s="1"/>
  <c r="DH67" i="12"/>
  <c r="G67" i="12" s="1"/>
  <c r="DI71" i="12"/>
  <c r="H71" i="12" s="1"/>
  <c r="DH74" i="12"/>
  <c r="G74" i="12" s="1"/>
  <c r="DI69" i="12"/>
  <c r="H69" i="12" s="1"/>
  <c r="DH65" i="12"/>
  <c r="G65" i="12" s="1"/>
  <c r="DH69" i="12"/>
  <c r="G69" i="12" s="1"/>
  <c r="DI68" i="12"/>
  <c r="H68" i="12" s="1"/>
  <c r="DH63" i="12"/>
  <c r="G63" i="12" s="1"/>
  <c r="DI72" i="12"/>
  <c r="H72" i="12" s="1"/>
  <c r="DH70" i="12"/>
  <c r="G70" i="12" s="1"/>
  <c r="M31" i="5"/>
  <c r="O28" i="14"/>
  <c r="G2" i="4"/>
  <c r="Q20" i="11"/>
  <c r="C20" i="11"/>
  <c r="G20" i="11" s="1"/>
  <c r="B20" i="11"/>
  <c r="C18" i="11"/>
  <c r="G18" i="11" s="1"/>
  <c r="D48" i="7"/>
  <c r="D47" i="7"/>
  <c r="I67" i="12" l="1"/>
  <c r="I65" i="12"/>
  <c r="I71" i="12"/>
  <c r="I66" i="12"/>
  <c r="I70" i="12"/>
  <c r="I64" i="12"/>
  <c r="I68" i="12"/>
  <c r="I69" i="12"/>
  <c r="I72" i="12"/>
  <c r="I63" i="12"/>
  <c r="J5" i="6"/>
  <c r="D18" i="11"/>
  <c r="D20" i="11"/>
  <c r="E20" i="11" s="1"/>
  <c r="N18" i="11"/>
  <c r="N20" i="11"/>
  <c r="I20" i="11" l="1"/>
  <c r="P20" i="11"/>
  <c r="F20" i="11"/>
  <c r="H18" i="11"/>
  <c r="O18" i="11"/>
  <c r="H20" i="11"/>
  <c r="O20" i="11"/>
  <c r="E18" i="11"/>
  <c r="L20" i="11" l="1"/>
  <c r="J20" i="11"/>
  <c r="P18" i="11"/>
  <c r="I18" i="11"/>
  <c r="F18" i="11"/>
  <c r="K18" i="11" s="1"/>
  <c r="K20" i="11"/>
  <c r="M20" i="11" l="1"/>
  <c r="L18" i="11"/>
  <c r="M18" i="11" s="1"/>
  <c r="J18" i="11"/>
  <c r="Q18" i="11" l="1"/>
  <c r="B18" i="11" s="1"/>
  <c r="J49" i="7"/>
  <c r="J48" i="7"/>
  <c r="Q28" i="4"/>
  <c r="D48" i="6" l="1"/>
  <c r="D47" i="6"/>
  <c r="D42" i="6"/>
  <c r="O32" i="6"/>
  <c r="O28" i="6"/>
  <c r="O9" i="6"/>
  <c r="J9" i="6"/>
  <c r="F9" i="6"/>
  <c r="B9" i="6"/>
  <c r="J6" i="6"/>
  <c r="B6" i="6"/>
  <c r="AI45" i="5"/>
  <c r="N41" i="6" l="1"/>
  <c r="O41" i="6" s="1"/>
  <c r="N42" i="6"/>
  <c r="O42" i="6" s="1"/>
  <c r="R45" i="4"/>
  <c r="S45" i="4" s="1"/>
  <c r="I20" i="8" s="1"/>
  <c r="S11" i="4"/>
  <c r="S12" i="4"/>
  <c r="S13" i="4"/>
  <c r="S16" i="4"/>
  <c r="S17" i="4"/>
  <c r="S18" i="4"/>
  <c r="S19" i="4"/>
  <c r="S20" i="4"/>
  <c r="S21" i="4"/>
  <c r="S27" i="4"/>
  <c r="H7" i="4"/>
  <c r="C28" i="5"/>
  <c r="C27" i="5"/>
  <c r="E37" i="4"/>
  <c r="D46" i="6"/>
  <c r="C8" i="4"/>
  <c r="C9" i="4"/>
  <c r="C11" i="4"/>
  <c r="C12" i="4"/>
  <c r="C13" i="4"/>
  <c r="C14" i="4"/>
  <c r="C15" i="4"/>
  <c r="C16" i="4"/>
  <c r="C17" i="4"/>
  <c r="C18" i="4"/>
  <c r="C19" i="4"/>
  <c r="C20" i="4"/>
  <c r="C21" i="4"/>
  <c r="C22" i="4"/>
  <c r="C23" i="4"/>
  <c r="C24" i="4"/>
  <c r="C7" i="4"/>
  <c r="H25" i="4"/>
  <c r="H8" i="4"/>
  <c r="H9" i="4"/>
  <c r="H11" i="4"/>
  <c r="H12" i="4"/>
  <c r="H13" i="4"/>
  <c r="H14" i="4"/>
  <c r="H15" i="4"/>
  <c r="H16" i="4"/>
  <c r="H17" i="4"/>
  <c r="H18" i="4"/>
  <c r="H19" i="4"/>
  <c r="H20" i="4"/>
  <c r="H21" i="4"/>
  <c r="H22" i="4"/>
  <c r="H23" i="4"/>
  <c r="H24" i="4"/>
  <c r="AS22" i="5" l="1"/>
  <c r="AS23" i="5" s="1"/>
  <c r="Q7" i="4"/>
  <c r="S9" i="4"/>
  <c r="N9" i="4" s="1"/>
  <c r="S26" i="4"/>
  <c r="S8" i="4"/>
  <c r="N8" i="4" s="1"/>
  <c r="S28" i="4"/>
  <c r="O43" i="6"/>
  <c r="O37" i="6"/>
  <c r="O42" i="4" l="1"/>
  <c r="P42" i="4" s="1"/>
  <c r="C51" i="5" s="1"/>
  <c r="C11" i="7" s="1"/>
  <c r="O36" i="4"/>
  <c r="O37" i="4"/>
  <c r="P37" i="4" s="1"/>
  <c r="O39" i="4"/>
  <c r="P39" i="4" s="1"/>
  <c r="O38" i="4"/>
  <c r="O40" i="4"/>
  <c r="O41" i="4"/>
  <c r="S7" i="4"/>
  <c r="P40" i="4" l="1"/>
  <c r="C49" i="5" s="1"/>
  <c r="P38" i="4"/>
  <c r="C47" i="5" s="1"/>
  <c r="P41" i="4"/>
  <c r="C50" i="5" s="1"/>
  <c r="P36" i="4"/>
  <c r="Q39" i="4"/>
  <c r="C48" i="5"/>
  <c r="Q36" i="4"/>
  <c r="C46" i="5"/>
  <c r="R37" i="4"/>
  <c r="I43" i="8" s="1"/>
  <c r="C45" i="5" l="1"/>
  <c r="C5" i="7" s="1"/>
  <c r="C10" i="7"/>
  <c r="D47" i="8"/>
  <c r="C7" i="7"/>
  <c r="D44" i="8"/>
  <c r="D46" i="8"/>
  <c r="C9" i="7"/>
  <c r="D43" i="8"/>
  <c r="C6" i="7"/>
  <c r="C8" i="7"/>
  <c r="D45" i="8"/>
  <c r="D42" i="8" l="1"/>
  <c r="AK6" i="2"/>
  <c r="H25" i="2"/>
  <c r="GC41" i="1" l="1"/>
  <c r="GC40" i="1"/>
  <c r="FZ41" i="1"/>
  <c r="FZ40" i="1"/>
  <c r="FZ39" i="1"/>
  <c r="FZ38" i="1"/>
  <c r="FX39" i="1"/>
  <c r="FX38" i="1"/>
  <c r="AI2" i="2"/>
  <c r="AH2" i="2"/>
  <c r="AI4" i="2"/>
  <c r="AI5" i="2" s="1"/>
  <c r="AH4" i="2"/>
  <c r="AH5" i="2" s="1"/>
  <c r="AI6" i="2"/>
  <c r="V4" i="3" s="1"/>
  <c r="AH6" i="2"/>
  <c r="U4" i="3" s="1"/>
  <c r="AG2" i="2"/>
  <c r="AG4" i="2"/>
  <c r="AG5" i="2" s="1"/>
  <c r="AG6" i="2"/>
  <c r="T4" i="3" s="1"/>
  <c r="AF2" i="2"/>
  <c r="AF4" i="2"/>
  <c r="AF6" i="2"/>
  <c r="V5" i="2"/>
  <c r="GB26" i="1"/>
  <c r="GB27" i="1" s="1"/>
  <c r="FY26" i="1"/>
  <c r="GA26" i="1" s="1"/>
  <c r="CJ27" i="1"/>
  <c r="CK27" i="1"/>
  <c r="CL27" i="1"/>
  <c r="DU2" i="1"/>
  <c r="CX4" i="1"/>
  <c r="DF4" i="1"/>
  <c r="DA19" i="1"/>
  <c r="CS3" i="1"/>
  <c r="DC5" i="1" s="1"/>
  <c r="CL26" i="1"/>
  <c r="CK26" i="1"/>
  <c r="CJ26" i="1"/>
  <c r="CL22" i="1"/>
  <c r="CK22" i="1"/>
  <c r="CJ22" i="1"/>
  <c r="CL20" i="1"/>
  <c r="CK20" i="1"/>
  <c r="CJ20" i="1"/>
  <c r="CM27" i="1" l="1"/>
  <c r="AF31" i="2"/>
  <c r="AF30" i="2"/>
  <c r="AF29" i="2"/>
  <c r="CM20" i="1"/>
  <c r="CW49" i="1" s="1"/>
  <c r="DJ58" i="1" s="1"/>
  <c r="DK58" i="1" s="1"/>
  <c r="CM22" i="1"/>
  <c r="CM26" i="1"/>
  <c r="DH4" i="1"/>
  <c r="GC26" i="1"/>
  <c r="GA27" i="1"/>
  <c r="S4" i="3"/>
  <c r="K38" i="1" s="1"/>
  <c r="CH3" i="1"/>
  <c r="BF7" i="1" s="1"/>
  <c r="BF8" i="1" l="1"/>
  <c r="BF10" i="1" s="1"/>
  <c r="BF11" i="1" s="1"/>
  <c r="H4" i="1" s="1"/>
  <c r="FY28" i="1"/>
  <c r="GC28" i="1" s="1"/>
  <c r="BF18" i="1"/>
  <c r="BF20" i="1" s="1"/>
  <c r="CX56" i="1"/>
  <c r="CH4" i="1"/>
  <c r="GC27" i="1"/>
  <c r="K23" i="1"/>
  <c r="FY27" i="1"/>
  <c r="CJ2" i="1"/>
  <c r="CW50" i="1"/>
  <c r="DC7" i="1" s="1"/>
  <c r="DC15" i="1" s="1"/>
  <c r="DB7" i="1"/>
  <c r="DB8" i="1" s="1"/>
  <c r="DB9" i="1" s="1"/>
  <c r="DB10" i="1" s="1"/>
  <c r="DB11" i="1" s="1"/>
  <c r="N13" i="6"/>
  <c r="CI2" i="1"/>
  <c r="CI3" i="1" s="1"/>
  <c r="CI4" i="1" s="1"/>
  <c r="CV5" i="1"/>
  <c r="CW57" i="1" s="1"/>
  <c r="CX57" i="1" s="1"/>
  <c r="DF5" i="1"/>
  <c r="CX5" i="1"/>
  <c r="CW6" i="1"/>
  <c r="P13" i="6" l="1"/>
  <c r="J3" i="5" s="1"/>
  <c r="B8" i="12"/>
  <c r="Q12" i="1"/>
  <c r="Q45" i="1"/>
  <c r="O13" i="6"/>
  <c r="A3" i="5" s="1"/>
  <c r="AH45" i="5" s="1"/>
  <c r="GA28" i="1"/>
  <c r="DH5" i="1"/>
  <c r="CX49" i="1"/>
  <c r="DJ63" i="1"/>
  <c r="DF49" i="1"/>
  <c r="CX50" i="1"/>
  <c r="DF50" i="1"/>
  <c r="DB18" i="1"/>
  <c r="CX6" i="1"/>
  <c r="DF6" i="1"/>
  <c r="DH6" i="1" s="1"/>
  <c r="CW7" i="1"/>
  <c r="CV6" i="1"/>
  <c r="DG49" i="1" l="1"/>
  <c r="DH49" i="1"/>
  <c r="DL63" i="1"/>
  <c r="DK63" i="1"/>
  <c r="DH50" i="1"/>
  <c r="DG50" i="1"/>
  <c r="DB17" i="1"/>
  <c r="DB16" i="1"/>
  <c r="DC8" i="1"/>
  <c r="DB15" i="1"/>
  <c r="CX7" i="1"/>
  <c r="DF7" i="1"/>
  <c r="DH7" i="1" s="1"/>
  <c r="DB19" i="1"/>
  <c r="CW8" i="1"/>
  <c r="CV7" i="1"/>
  <c r="DC9" i="1" l="1"/>
  <c r="DC16" i="1"/>
  <c r="CX8" i="1"/>
  <c r="DF8" i="1"/>
  <c r="DH8" i="1" s="1"/>
  <c r="CW9" i="1"/>
  <c r="CV8" i="1"/>
  <c r="DC10" i="1" l="1"/>
  <c r="DC17" i="1"/>
  <c r="CX9" i="1"/>
  <c r="DF9" i="1"/>
  <c r="DH9" i="1" s="1"/>
  <c r="CW10" i="1"/>
  <c r="CV9" i="1"/>
  <c r="CX10" i="1" l="1"/>
  <c r="DF10" i="1"/>
  <c r="DH10" i="1" s="1"/>
  <c r="DC11" i="1"/>
  <c r="DC19" i="1" s="1"/>
  <c r="DC18" i="1"/>
  <c r="CW11" i="1"/>
  <c r="CV10" i="1"/>
  <c r="CX11" i="1" l="1"/>
  <c r="DF11" i="1"/>
  <c r="CW12" i="1"/>
  <c r="CV11" i="1"/>
  <c r="DH11" i="1" l="1"/>
  <c r="CX12" i="1"/>
  <c r="DF12" i="1"/>
  <c r="DH12" i="1" s="1"/>
  <c r="CW13" i="1"/>
  <c r="CV12" i="1"/>
  <c r="CX13" i="1" l="1"/>
  <c r="DF13" i="1"/>
  <c r="DH13" i="1" s="1"/>
  <c r="CW14" i="1"/>
  <c r="CV13" i="1"/>
  <c r="CX14" i="1" l="1"/>
  <c r="DF14" i="1"/>
  <c r="DH14" i="1" s="1"/>
  <c r="CW15" i="1"/>
  <c r="DF15" i="1" s="1"/>
  <c r="CV14" i="1"/>
  <c r="CX15" i="1" l="1"/>
  <c r="DH15" i="1"/>
  <c r="CW16" i="1"/>
  <c r="CV15" i="1"/>
  <c r="CX16" i="1" l="1"/>
  <c r="DF16" i="1"/>
  <c r="DH16" i="1" s="1"/>
  <c r="CW17" i="1"/>
  <c r="CV16" i="1"/>
  <c r="CX17" i="1" l="1"/>
  <c r="DF17" i="1"/>
  <c r="DH17" i="1" s="1"/>
  <c r="CW18" i="1"/>
  <c r="CV17" i="1"/>
  <c r="CX18" i="1" l="1"/>
  <c r="DF18" i="1"/>
  <c r="DH18" i="1" s="1"/>
  <c r="CW19" i="1"/>
  <c r="CV18" i="1"/>
  <c r="CX19" i="1" l="1"/>
  <c r="DF19" i="1"/>
  <c r="CW20" i="1"/>
  <c r="CV19" i="1"/>
  <c r="DH19" i="1" l="1"/>
  <c r="CX20" i="1"/>
  <c r="DF20" i="1"/>
  <c r="DH20" i="1" s="1"/>
  <c r="CW21" i="1"/>
  <c r="CV20" i="1"/>
  <c r="CX21" i="1" l="1"/>
  <c r="DF21" i="1"/>
  <c r="DH21" i="1" s="1"/>
  <c r="CW22" i="1"/>
  <c r="CV21" i="1"/>
  <c r="CX22" i="1" l="1"/>
  <c r="DF22" i="1"/>
  <c r="DH22" i="1" s="1"/>
  <c r="CW23" i="1"/>
  <c r="CV22" i="1"/>
  <c r="CX23" i="1" l="1"/>
  <c r="DF23" i="1"/>
  <c r="DH23" i="1" s="1"/>
  <c r="CW24" i="1"/>
  <c r="CV23" i="1"/>
  <c r="CX24" i="1" l="1"/>
  <c r="DF24" i="1"/>
  <c r="DH24" i="1" s="1"/>
  <c r="CW25" i="1"/>
  <c r="CV24" i="1"/>
  <c r="CX25" i="1" l="1"/>
  <c r="DF25" i="1"/>
  <c r="DH25" i="1" s="1"/>
  <c r="CW26" i="1"/>
  <c r="CV25" i="1"/>
  <c r="CX26" i="1" l="1"/>
  <c r="DF26" i="1"/>
  <c r="CW27" i="1"/>
  <c r="CV26" i="1"/>
  <c r="DH26" i="1" l="1"/>
  <c r="CX27" i="1"/>
  <c r="DF27" i="1"/>
  <c r="DH27" i="1" s="1"/>
  <c r="CW28" i="1"/>
  <c r="CV27" i="1"/>
  <c r="CX28" i="1" l="1"/>
  <c r="DF28" i="1"/>
  <c r="DH28" i="1" s="1"/>
  <c r="CW29" i="1"/>
  <c r="CV28" i="1"/>
  <c r="CX29" i="1" l="1"/>
  <c r="DF29" i="1"/>
  <c r="DH29" i="1" s="1"/>
  <c r="CW30" i="1"/>
  <c r="CV29" i="1"/>
  <c r="CX30" i="1" l="1"/>
  <c r="DF30" i="1"/>
  <c r="DH30" i="1" s="1"/>
  <c r="CW31" i="1"/>
  <c r="CV30" i="1"/>
  <c r="CX31" i="1" l="1"/>
  <c r="DF31" i="1"/>
  <c r="DH31" i="1" s="1"/>
  <c r="CW32" i="1"/>
  <c r="CV31" i="1"/>
  <c r="CX32" i="1" l="1"/>
  <c r="DF32" i="1"/>
  <c r="DH32" i="1" s="1"/>
  <c r="CW33" i="1"/>
  <c r="CV32" i="1"/>
  <c r="CX33" i="1" l="1"/>
  <c r="DF33" i="1"/>
  <c r="DH33" i="1" s="1"/>
  <c r="CW34" i="1"/>
  <c r="CV33" i="1"/>
  <c r="CX34" i="1" l="1"/>
  <c r="DF34" i="1"/>
  <c r="DH34" i="1" s="1"/>
  <c r="CW35" i="1"/>
  <c r="CV34" i="1"/>
  <c r="CX35" i="1" l="1"/>
  <c r="DF35" i="1"/>
  <c r="DH35" i="1" s="1"/>
  <c r="CW36" i="1"/>
  <c r="CV36" i="1" s="1"/>
  <c r="CV35" i="1"/>
  <c r="CX36" i="1" l="1"/>
  <c r="DF36" i="1"/>
  <c r="DH36" i="1" s="1"/>
  <c r="CW37" i="1"/>
  <c r="CX37" i="1" l="1"/>
  <c r="DF37" i="1"/>
  <c r="DH37" i="1" s="1"/>
  <c r="CW38" i="1"/>
  <c r="CV37" i="1"/>
  <c r="CX38" i="1" l="1"/>
  <c r="DF38" i="1"/>
  <c r="DH38" i="1" s="1"/>
  <c r="CW39" i="1"/>
  <c r="CV38" i="1"/>
  <c r="CX39" i="1" l="1"/>
  <c r="DF39" i="1"/>
  <c r="DH39" i="1" s="1"/>
  <c r="CW40" i="1"/>
  <c r="CV39" i="1"/>
  <c r="CX40" i="1" l="1"/>
  <c r="DF40" i="1"/>
  <c r="DH40" i="1" s="1"/>
  <c r="CW41" i="1"/>
  <c r="CV40" i="1"/>
  <c r="CX41" i="1" l="1"/>
  <c r="DF41" i="1"/>
  <c r="DH41" i="1" s="1"/>
  <c r="CW42" i="1"/>
  <c r="CV41" i="1"/>
  <c r="CX42" i="1" l="1"/>
  <c r="DF42" i="1"/>
  <c r="DH42" i="1" s="1"/>
  <c r="CW43" i="1"/>
  <c r="CV42" i="1"/>
  <c r="CX43" i="1" l="1"/>
  <c r="DF43" i="1"/>
  <c r="DH43" i="1" s="1"/>
  <c r="CW44" i="1"/>
  <c r="CV43" i="1"/>
  <c r="CX44" i="1" l="1"/>
  <c r="DF44" i="1"/>
  <c r="DH44" i="1" s="1"/>
  <c r="CW45" i="1"/>
  <c r="CV44" i="1"/>
  <c r="CX45" i="1" l="1"/>
  <c r="DF45" i="1"/>
  <c r="DH45" i="1" s="1"/>
  <c r="CW46" i="1"/>
  <c r="CV45" i="1"/>
  <c r="CX46" i="1" l="1"/>
  <c r="DF46" i="1"/>
  <c r="DH46" i="1" s="1"/>
  <c r="CW47" i="1"/>
  <c r="CV46" i="1"/>
  <c r="DF47" i="1" l="1"/>
  <c r="DH47" i="1" s="1"/>
  <c r="CW56" i="1"/>
  <c r="CW48" i="1"/>
  <c r="CX48" i="1" s="1"/>
  <c r="CX47" i="1"/>
  <c r="CV47" i="1"/>
  <c r="CW51" i="1" l="1"/>
  <c r="DF52" i="1" s="1"/>
  <c r="CW52" i="1"/>
  <c r="CV48" i="1"/>
  <c r="CW58" i="1" s="1"/>
  <c r="DF48" i="1"/>
  <c r="DH48" i="1" s="1"/>
  <c r="DA10" i="1"/>
  <c r="DA18" i="1" s="1"/>
  <c r="CW55" i="1"/>
  <c r="DG52" i="1" l="1"/>
  <c r="AJ1" i="2"/>
  <c r="AP1" i="2"/>
  <c r="DT2" i="1"/>
  <c r="GA42" i="1"/>
  <c r="DF54" i="1"/>
  <c r="DE53" i="1"/>
  <c r="DG53" i="1" s="1"/>
  <c r="DE51" i="1"/>
  <c r="AF1" i="2"/>
  <c r="CX52" i="1"/>
  <c r="DA9" i="1"/>
  <c r="DA17" i="1" s="1"/>
  <c r="CW54" i="1"/>
  <c r="DF55" i="1"/>
  <c r="GA41" i="1"/>
  <c r="AI1" i="2"/>
  <c r="AG1" i="2"/>
  <c r="AH1" i="2"/>
  <c r="GA40" i="1"/>
  <c r="GA39" i="1"/>
  <c r="GC36" i="1" s="1"/>
  <c r="GA38" i="1"/>
  <c r="CX51" i="1"/>
  <c r="CW60" i="1"/>
  <c r="DF58" i="1" s="1"/>
  <c r="CW59" i="1"/>
  <c r="DF57" i="1" s="1"/>
  <c r="DF56" i="1"/>
  <c r="DK27" i="1" l="1"/>
  <c r="DK4" i="1"/>
  <c r="DG54" i="1"/>
  <c r="DK13" i="1"/>
  <c r="X15" i="1" s="1"/>
  <c r="CW53" i="1"/>
  <c r="DA7" i="1" s="1"/>
  <c r="DA15" i="1" s="1"/>
  <c r="BB1" i="2"/>
  <c r="DH53" i="1"/>
  <c r="DH51" i="1"/>
  <c r="DK18" i="1"/>
  <c r="X20" i="1" s="1"/>
  <c r="DK9" i="1"/>
  <c r="DK46" i="1"/>
  <c r="X48" i="1" s="1"/>
  <c r="DK42" i="1"/>
  <c r="X44" i="1" s="1"/>
  <c r="DK21" i="1"/>
  <c r="X23" i="1" s="1"/>
  <c r="DK49" i="1"/>
  <c r="X51" i="1" s="1"/>
  <c r="DK6" i="1"/>
  <c r="X8" i="1" s="1"/>
  <c r="DK19" i="1"/>
  <c r="X21" i="1" s="1"/>
  <c r="DK10" i="1"/>
  <c r="X12" i="1" s="1"/>
  <c r="DK22" i="1"/>
  <c r="X24" i="1" s="1"/>
  <c r="DK26" i="1"/>
  <c r="X28" i="1" s="1"/>
  <c r="DK38" i="1"/>
  <c r="X40" i="1" s="1"/>
  <c r="DK54" i="1"/>
  <c r="DK53" i="1"/>
  <c r="X55" i="1" s="1"/>
  <c r="DK50" i="1"/>
  <c r="X52" i="1" s="1"/>
  <c r="DK11" i="1"/>
  <c r="DK29" i="1"/>
  <c r="X31" i="1" s="1"/>
  <c r="DK31" i="1"/>
  <c r="X33" i="1" s="1"/>
  <c r="DK30" i="1"/>
  <c r="X32" i="1" s="1"/>
  <c r="DK37" i="1"/>
  <c r="X39" i="1" s="1"/>
  <c r="DK16" i="1"/>
  <c r="X18" i="1" s="1"/>
  <c r="DK48" i="1"/>
  <c r="X50" i="1" s="1"/>
  <c r="DK34" i="1"/>
  <c r="X36" i="1" s="1"/>
  <c r="DK47" i="1"/>
  <c r="DK40" i="1"/>
  <c r="X42" i="1" s="1"/>
  <c r="DK43" i="1"/>
  <c r="X45" i="1" s="1"/>
  <c r="DK35" i="1"/>
  <c r="X37" i="1" s="1"/>
  <c r="DK28" i="1"/>
  <c r="X30" i="1" s="1"/>
  <c r="DK7" i="1"/>
  <c r="X9" i="1" s="1"/>
  <c r="DK15" i="1"/>
  <c r="X17" i="1" s="1"/>
  <c r="DK20" i="1"/>
  <c r="X22" i="1" s="1"/>
  <c r="DK12" i="1"/>
  <c r="X14" i="1" s="1"/>
  <c r="DK44" i="1"/>
  <c r="X46" i="1" s="1"/>
  <c r="DK39" i="1"/>
  <c r="X41" i="1" s="1"/>
  <c r="DK23" i="1"/>
  <c r="X25" i="1" s="1"/>
  <c r="DK56" i="1"/>
  <c r="DK36" i="1"/>
  <c r="X38" i="1" s="1"/>
  <c r="DK32" i="1"/>
  <c r="X34" i="1" s="1"/>
  <c r="DK24" i="1"/>
  <c r="X26" i="1" s="1"/>
  <c r="DK55" i="1"/>
  <c r="DK17" i="1"/>
  <c r="X19" i="1" s="1"/>
  <c r="DK52" i="1"/>
  <c r="X54" i="1" s="1"/>
  <c r="DK25" i="1"/>
  <c r="X27" i="1" s="1"/>
  <c r="DK45" i="1"/>
  <c r="X47" i="1" s="1"/>
  <c r="DK51" i="1"/>
  <c r="X53" i="1" s="1"/>
  <c r="DK8" i="1"/>
  <c r="X10" i="1" s="1"/>
  <c r="DK14" i="1"/>
  <c r="X16" i="1" s="1"/>
  <c r="DK41" i="1"/>
  <c r="X43" i="1" s="1"/>
  <c r="DK33" i="1"/>
  <c r="X35" i="1" s="1"/>
  <c r="DK5" i="1"/>
  <c r="X7" i="1" s="1"/>
  <c r="DH52" i="1"/>
  <c r="DH54" i="1"/>
  <c r="GC35" i="1"/>
  <c r="DA8" i="1"/>
  <c r="DA16" i="1" s="1"/>
  <c r="AF5" i="2"/>
  <c r="DH55" i="1"/>
  <c r="DG55" i="1"/>
  <c r="DG56" i="1"/>
  <c r="CX58" i="1"/>
  <c r="DH56" i="1" s="1"/>
  <c r="CX59" i="1"/>
  <c r="DH57" i="1" s="1"/>
  <c r="DG58" i="1"/>
  <c r="CX60" i="1"/>
  <c r="DH58" i="1" s="1"/>
  <c r="X11" i="1" l="1"/>
  <c r="EU68" i="1"/>
  <c r="X29" i="1"/>
  <c r="X49" i="1"/>
  <c r="X13" i="1"/>
  <c r="EV68" i="1"/>
  <c r="EU69" i="1"/>
  <c r="X6" i="1"/>
  <c r="EP39" i="1"/>
  <c r="EQ39" i="1"/>
  <c r="EP35" i="1"/>
  <c r="EQ35" i="1" s="1"/>
  <c r="EV43" i="1"/>
  <c r="EP43" i="1"/>
  <c r="EU43" i="1"/>
  <c r="EQ43" i="1"/>
  <c r="EU55" i="1"/>
  <c r="EV55" i="1"/>
  <c r="EQ55" i="1"/>
  <c r="EP55" i="1"/>
  <c r="EP40" i="1"/>
  <c r="EU40" i="1"/>
  <c r="EV40" i="1"/>
  <c r="EQ40" i="1"/>
  <c r="DL8" i="1"/>
  <c r="Y10" i="1" s="1"/>
  <c r="EQ53" i="1"/>
  <c r="EU53" i="1"/>
  <c r="EV53" i="1"/>
  <c r="EP53" i="1"/>
  <c r="DW5" i="1"/>
  <c r="DY5" i="1" s="1"/>
  <c r="EQ45" i="1"/>
  <c r="EU45" i="1"/>
  <c r="EV45" i="1"/>
  <c r="EP45" i="1"/>
  <c r="EV54" i="1"/>
  <c r="EP54" i="1"/>
  <c r="EQ54" i="1"/>
  <c r="EU54" i="1"/>
  <c r="EP52" i="1"/>
  <c r="EU52" i="1"/>
  <c r="EV52" i="1"/>
  <c r="EQ52" i="1"/>
  <c r="EV46" i="1"/>
  <c r="EP46" i="1"/>
  <c r="EQ46" i="1"/>
  <c r="EU46" i="1"/>
  <c r="EP41" i="1"/>
  <c r="EQ41" i="1"/>
  <c r="EU41" i="1"/>
  <c r="EV41" i="1"/>
  <c r="EP44" i="1"/>
  <c r="EQ44" i="1"/>
  <c r="EU44" i="1"/>
  <c r="EV44" i="1"/>
  <c r="DW9" i="1"/>
  <c r="ED9" i="1" s="1"/>
  <c r="EE9" i="1" s="1"/>
  <c r="EU47" i="1"/>
  <c r="EV47" i="1"/>
  <c r="EP47" i="1"/>
  <c r="EQ47" i="1"/>
  <c r="EV50" i="1"/>
  <c r="EP50" i="1"/>
  <c r="EQ50" i="1"/>
  <c r="EU50" i="1"/>
  <c r="EV51" i="1"/>
  <c r="EP51" i="1"/>
  <c r="EU51" i="1"/>
  <c r="EQ51" i="1"/>
  <c r="EP36" i="1"/>
  <c r="EQ36" i="1"/>
  <c r="EP48" i="1"/>
  <c r="EU48" i="1"/>
  <c r="EQ48" i="1"/>
  <c r="EV48" i="1"/>
  <c r="EP49" i="1"/>
  <c r="EQ49" i="1"/>
  <c r="EU49" i="1"/>
  <c r="EV49" i="1"/>
  <c r="EP37" i="1"/>
  <c r="EQ37" i="1" s="1"/>
  <c r="EP38" i="1"/>
  <c r="EQ38" i="1" s="1"/>
  <c r="EV42" i="1"/>
  <c r="EP42" i="1"/>
  <c r="EQ42" i="1"/>
  <c r="EU42" i="1"/>
  <c r="DW10" i="1"/>
  <c r="DW14" i="1"/>
  <c r="DW27" i="1"/>
  <c r="DW24" i="1"/>
  <c r="DW21" i="1"/>
  <c r="DW26" i="1"/>
  <c r="DW18" i="1"/>
  <c r="DW15" i="1"/>
  <c r="DW13" i="1"/>
  <c r="DL7" i="1"/>
  <c r="Y9" i="1" s="1"/>
  <c r="DW6" i="1"/>
  <c r="DJ52" i="1"/>
  <c r="Z54" i="1" s="1"/>
  <c r="DJ55" i="1"/>
  <c r="DJ56" i="1"/>
  <c r="DJ54" i="1"/>
  <c r="DJ50" i="1"/>
  <c r="Z52" i="1" s="1"/>
  <c r="DJ51" i="1"/>
  <c r="Z53" i="1" s="1"/>
  <c r="DJ53" i="1"/>
  <c r="Z55" i="1" s="1"/>
  <c r="DJ49" i="1"/>
  <c r="Z51" i="1" s="1"/>
  <c r="DW52" i="1"/>
  <c r="DW46" i="1"/>
  <c r="DW53" i="1"/>
  <c r="DL4" i="1"/>
  <c r="Y6" i="1" s="1"/>
  <c r="DL56" i="1"/>
  <c r="DW43" i="1"/>
  <c r="DW44" i="1"/>
  <c r="DW32" i="1"/>
  <c r="DW35" i="1"/>
  <c r="ED35" i="1" s="1"/>
  <c r="DL55" i="1"/>
  <c r="EJ55" i="1"/>
  <c r="DL28" i="1"/>
  <c r="Y30" i="1" s="1"/>
  <c r="EJ28" i="1"/>
  <c r="DL11" i="1"/>
  <c r="Y13" i="1" s="1"/>
  <c r="EJ11" i="1"/>
  <c r="DL49" i="1"/>
  <c r="Y51" i="1" s="1"/>
  <c r="EJ49" i="1"/>
  <c r="DL25" i="1"/>
  <c r="Y27" i="1" s="1"/>
  <c r="EJ25" i="1"/>
  <c r="DL38" i="1"/>
  <c r="Y40" i="1" s="1"/>
  <c r="EJ38" i="1"/>
  <c r="DL37" i="1"/>
  <c r="Y39" i="1" s="1"/>
  <c r="EJ37" i="1"/>
  <c r="DL20" i="1"/>
  <c r="Y22" i="1" s="1"/>
  <c r="EJ20" i="1"/>
  <c r="DL33" i="1"/>
  <c r="Y35" i="1" s="1"/>
  <c r="EJ33" i="1"/>
  <c r="EJ7" i="1"/>
  <c r="DL36" i="1"/>
  <c r="Y38" i="1" s="1"/>
  <c r="EJ36" i="1"/>
  <c r="EJ8" i="1"/>
  <c r="DL45" i="1"/>
  <c r="Y47" i="1" s="1"/>
  <c r="EJ45" i="1"/>
  <c r="DL17" i="1"/>
  <c r="Y19" i="1" s="1"/>
  <c r="EJ17" i="1"/>
  <c r="DL47" i="1"/>
  <c r="Y49" i="1" s="1"/>
  <c r="EJ47" i="1"/>
  <c r="DL30" i="1"/>
  <c r="Y32" i="1" s="1"/>
  <c r="EJ30" i="1"/>
  <c r="DL29" i="1"/>
  <c r="Y31" i="1" s="1"/>
  <c r="EJ29" i="1"/>
  <c r="DL12" i="1"/>
  <c r="Y14" i="1" s="1"/>
  <c r="EJ12" i="1"/>
  <c r="DL42" i="1"/>
  <c r="Y44" i="1" s="1"/>
  <c r="EJ42" i="1"/>
  <c r="DL9" i="1"/>
  <c r="Y11" i="1" s="1"/>
  <c r="EJ9" i="1"/>
  <c r="DL16" i="1"/>
  <c r="Y18" i="1" s="1"/>
  <c r="EJ16" i="1"/>
  <c r="DL34" i="1"/>
  <c r="Y36" i="1" s="1"/>
  <c r="EJ34" i="1"/>
  <c r="DL41" i="1"/>
  <c r="Y43" i="1" s="1"/>
  <c r="EJ41" i="1"/>
  <c r="DL51" i="1"/>
  <c r="Y53" i="1" s="1"/>
  <c r="EJ51" i="1"/>
  <c r="DL39" i="1"/>
  <c r="Y41" i="1" s="1"/>
  <c r="EJ39" i="1"/>
  <c r="DL22" i="1"/>
  <c r="Y24" i="1" s="1"/>
  <c r="EJ22" i="1"/>
  <c r="DL21" i="1"/>
  <c r="Y23" i="1" s="1"/>
  <c r="EJ21" i="1"/>
  <c r="DL52" i="1"/>
  <c r="Y54" i="1" s="1"/>
  <c r="EJ52" i="1"/>
  <c r="DL26" i="1"/>
  <c r="Y28" i="1" s="1"/>
  <c r="EJ26" i="1"/>
  <c r="DL32" i="1"/>
  <c r="Y34" i="1" s="1"/>
  <c r="EJ32" i="1"/>
  <c r="DL50" i="1"/>
  <c r="Y52" i="1" s="1"/>
  <c r="EJ50" i="1"/>
  <c r="DL54" i="1"/>
  <c r="EJ54" i="1"/>
  <c r="DL48" i="1"/>
  <c r="Y50" i="1" s="1"/>
  <c r="EJ48" i="1"/>
  <c r="DL31" i="1"/>
  <c r="Y33" i="1" s="1"/>
  <c r="EJ31" i="1"/>
  <c r="DL14" i="1"/>
  <c r="Y16" i="1" s="1"/>
  <c r="EJ14" i="1"/>
  <c r="DL13" i="1"/>
  <c r="Y15" i="1" s="1"/>
  <c r="EJ13" i="1"/>
  <c r="DL43" i="1"/>
  <c r="Y45" i="1" s="1"/>
  <c r="EJ43" i="1"/>
  <c r="DL18" i="1"/>
  <c r="Y20" i="1" s="1"/>
  <c r="EJ18" i="1"/>
  <c r="DL19" i="1"/>
  <c r="Y21" i="1" s="1"/>
  <c r="EJ19" i="1"/>
  <c r="DL40" i="1"/>
  <c r="Y42" i="1" s="1"/>
  <c r="EJ40" i="1"/>
  <c r="DL23" i="1"/>
  <c r="Y25" i="1" s="1"/>
  <c r="EJ23" i="1"/>
  <c r="DL6" i="1"/>
  <c r="Y8" i="1" s="1"/>
  <c r="EJ6" i="1"/>
  <c r="DL5" i="1"/>
  <c r="Y7" i="1" s="1"/>
  <c r="EJ5" i="1"/>
  <c r="DL35" i="1"/>
  <c r="Y37" i="1" s="1"/>
  <c r="EJ35" i="1"/>
  <c r="DL10" i="1"/>
  <c r="Y12" i="1" s="1"/>
  <c r="EJ10" i="1"/>
  <c r="DL53" i="1"/>
  <c r="Y55" i="1" s="1"/>
  <c r="EJ53" i="1"/>
  <c r="DL24" i="1"/>
  <c r="Y26" i="1" s="1"/>
  <c r="EJ24" i="1"/>
  <c r="DL15" i="1"/>
  <c r="Y17" i="1" s="1"/>
  <c r="EJ15" i="1"/>
  <c r="DL46" i="1"/>
  <c r="Y48" i="1" s="1"/>
  <c r="EJ46" i="1"/>
  <c r="DL44" i="1"/>
  <c r="Y46" i="1" s="1"/>
  <c r="EJ44" i="1"/>
  <c r="DL27" i="1"/>
  <c r="Y29" i="1" s="1"/>
  <c r="EJ27" i="1"/>
  <c r="EJ4" i="1"/>
  <c r="DW4" i="1"/>
  <c r="DY4" i="1" s="1"/>
  <c r="DW41" i="1"/>
  <c r="DW36" i="1"/>
  <c r="DW54" i="1"/>
  <c r="DW19" i="1"/>
  <c r="DW45" i="1"/>
  <c r="DW7" i="1"/>
  <c r="DW28" i="1"/>
  <c r="DW16" i="1"/>
  <c r="DW50" i="1"/>
  <c r="DW31" i="1"/>
  <c r="DW30" i="1"/>
  <c r="DW29" i="1"/>
  <c r="DW47" i="1"/>
  <c r="DW42" i="1"/>
  <c r="DW33" i="1"/>
  <c r="DW51" i="1"/>
  <c r="DW40" i="1"/>
  <c r="DW22" i="1"/>
  <c r="DW23" i="1"/>
  <c r="DW38" i="1"/>
  <c r="DW39" i="1"/>
  <c r="DW20" i="1"/>
  <c r="DW37" i="1"/>
  <c r="DW48" i="1"/>
  <c r="DW8" i="1"/>
  <c r="DW25" i="1"/>
  <c r="DW11" i="1"/>
  <c r="DW17" i="1"/>
  <c r="ED17" i="1" s="1"/>
  <c r="EE17" i="1" s="1"/>
  <c r="DW34" i="1"/>
  <c r="DW49" i="1"/>
  <c r="F7" i="2"/>
  <c r="DW12" i="1"/>
  <c r="ED12" i="1" s="1"/>
  <c r="EE12" i="1" s="1"/>
  <c r="DW55" i="1"/>
  <c r="ED55" i="1" s="1"/>
  <c r="EE55" i="1" s="1"/>
  <c r="DC32" i="1"/>
  <c r="BW13" i="1" s="1"/>
  <c r="BY13" i="1" s="1"/>
  <c r="DC33" i="1"/>
  <c r="BW14" i="1" s="1"/>
  <c r="BY14" i="1" s="1"/>
  <c r="DC27" i="1"/>
  <c r="BW8" i="1" s="1"/>
  <c r="DC35" i="1"/>
  <c r="BW16" i="1" s="1"/>
  <c r="BY16" i="1" s="1"/>
  <c r="DC36" i="1"/>
  <c r="DC37" i="1"/>
  <c r="BW18" i="1" s="1"/>
  <c r="BY18" i="1" s="1"/>
  <c r="DB37" i="1" s="1"/>
  <c r="DC31" i="1"/>
  <c r="BW12" i="1" s="1"/>
  <c r="DC34" i="1"/>
  <c r="BW15" i="1" s="1"/>
  <c r="BY15" i="1" s="1"/>
  <c r="DC28" i="1"/>
  <c r="BW9" i="1" s="1"/>
  <c r="DC29" i="1"/>
  <c r="BW10" i="1" s="1"/>
  <c r="DC30" i="1"/>
  <c r="BW11" i="1" s="1"/>
  <c r="DC24" i="1"/>
  <c r="BW5" i="1" s="1"/>
  <c r="DC25" i="1"/>
  <c r="BW6" i="1" s="1"/>
  <c r="DC23" i="1"/>
  <c r="BW4" i="1" s="1"/>
  <c r="DC26" i="1"/>
  <c r="BW7" i="1" s="1"/>
  <c r="EG4" i="1"/>
  <c r="DG57" i="1"/>
  <c r="BP4" i="1" l="1"/>
  <c r="EB16" i="1"/>
  <c r="ED16" i="1"/>
  <c r="EE16" i="1" s="1"/>
  <c r="EB37" i="1"/>
  <c r="ED37" i="1"/>
  <c r="DY7" i="1"/>
  <c r="ED7" i="1"/>
  <c r="EE7" i="1" s="1"/>
  <c r="ED5" i="1"/>
  <c r="EE5" i="1" s="1"/>
  <c r="EB38" i="1"/>
  <c r="ED38" i="1"/>
  <c r="DY19" i="1"/>
  <c r="ED19" i="1"/>
  <c r="EE19" i="1" s="1"/>
  <c r="EB53" i="1"/>
  <c r="ED53" i="1"/>
  <c r="EE53" i="1" s="1"/>
  <c r="DY6" i="1"/>
  <c r="ED6" i="1"/>
  <c r="EE6" i="1" s="1"/>
  <c r="DY27" i="1"/>
  <c r="ED27" i="1"/>
  <c r="ED4" i="1"/>
  <c r="EE4" i="1" s="1"/>
  <c r="EB4" i="1"/>
  <c r="EB18" i="1"/>
  <c r="ED18" i="1"/>
  <c r="EE18" i="1" s="1"/>
  <c r="EB33" i="1"/>
  <c r="ED33" i="1"/>
  <c r="EB43" i="1"/>
  <c r="ED43" i="1"/>
  <c r="EE43" i="1" s="1"/>
  <c r="EB21" i="1"/>
  <c r="ED21" i="1"/>
  <c r="EE21" i="1" s="1"/>
  <c r="EB47" i="1"/>
  <c r="ED47" i="1"/>
  <c r="EE47" i="1" s="1"/>
  <c r="EB29" i="1"/>
  <c r="ED29" i="1"/>
  <c r="EB11" i="1"/>
  <c r="ED11" i="1"/>
  <c r="EE11" i="1" s="1"/>
  <c r="EB23" i="1"/>
  <c r="ED23" i="1"/>
  <c r="EE23" i="1" s="1"/>
  <c r="EB30" i="1"/>
  <c r="ED30" i="1"/>
  <c r="EB54" i="1"/>
  <c r="ED54" i="1"/>
  <c r="EE54" i="1" s="1"/>
  <c r="EB46" i="1"/>
  <c r="ED46" i="1"/>
  <c r="EE46" i="1" s="1"/>
  <c r="DY14" i="1"/>
  <c r="ED14" i="1"/>
  <c r="EE14" i="1" s="1"/>
  <c r="EB48" i="1"/>
  <c r="ED48" i="1"/>
  <c r="EE48" i="1" s="1"/>
  <c r="DY28" i="1"/>
  <c r="ED28" i="1"/>
  <c r="EB20" i="1"/>
  <c r="ED20" i="1"/>
  <c r="EE20" i="1" s="1"/>
  <c r="EB42" i="1"/>
  <c r="ED42" i="1"/>
  <c r="EE42" i="1" s="1"/>
  <c r="EB22" i="1"/>
  <c r="ED22" i="1"/>
  <c r="EE22" i="1" s="1"/>
  <c r="DY36" i="1"/>
  <c r="ED36" i="1"/>
  <c r="EE35" i="1"/>
  <c r="EB52" i="1"/>
  <c r="ED52" i="1"/>
  <c r="EE52" i="1" s="1"/>
  <c r="DY13" i="1"/>
  <c r="ED13" i="1"/>
  <c r="EE13" i="1" s="1"/>
  <c r="DY10" i="1"/>
  <c r="ED10" i="1"/>
  <c r="EE10" i="1" s="1"/>
  <c r="EB51" i="1"/>
  <c r="ED51" i="1"/>
  <c r="EE51" i="1" s="1"/>
  <c r="EB44" i="1"/>
  <c r="ED44" i="1"/>
  <c r="EE44" i="1" s="1"/>
  <c r="DY26" i="1"/>
  <c r="ED26" i="1"/>
  <c r="EB49" i="1"/>
  <c r="ED49" i="1"/>
  <c r="EE49" i="1" s="1"/>
  <c r="EB34" i="1"/>
  <c r="ED34" i="1"/>
  <c r="EB39" i="1"/>
  <c r="ED39" i="1"/>
  <c r="EB45" i="1"/>
  <c r="ED45" i="1"/>
  <c r="EE45" i="1" s="1"/>
  <c r="EB24" i="1"/>
  <c r="ED24" i="1"/>
  <c r="EB25" i="1"/>
  <c r="ED25" i="1"/>
  <c r="EB31" i="1"/>
  <c r="ED31" i="1"/>
  <c r="DY8" i="1"/>
  <c r="ED8" i="1"/>
  <c r="EE8" i="1" s="1"/>
  <c r="EB40" i="1"/>
  <c r="ED40" i="1"/>
  <c r="DY50" i="1"/>
  <c r="ED50" i="1"/>
  <c r="EE50" i="1" s="1"/>
  <c r="EB41" i="1"/>
  <c r="ED41" i="1"/>
  <c r="EB32" i="1"/>
  <c r="ED32" i="1"/>
  <c r="EB15" i="1"/>
  <c r="ED15" i="1"/>
  <c r="EE15" i="1" s="1"/>
  <c r="AC51" i="1"/>
  <c r="AC44" i="1"/>
  <c r="AB43" i="1"/>
  <c r="AC42" i="1"/>
  <c r="AB55" i="1"/>
  <c r="AC37" i="1"/>
  <c r="AB40" i="1"/>
  <c r="AB54" i="1"/>
  <c r="AC45" i="1"/>
  <c r="AC38" i="1"/>
  <c r="AC52" i="1"/>
  <c r="AB47" i="1"/>
  <c r="AC55" i="1"/>
  <c r="AB45" i="1"/>
  <c r="AC41" i="1"/>
  <c r="AB42" i="1"/>
  <c r="AB41" i="1"/>
  <c r="AC49" i="1"/>
  <c r="AC48" i="1"/>
  <c r="AB51" i="1"/>
  <c r="AB38" i="1"/>
  <c r="AB49" i="1"/>
  <c r="AC46" i="1"/>
  <c r="AB48" i="1"/>
  <c r="AB44" i="1"/>
  <c r="AC53" i="1"/>
  <c r="AB46" i="1"/>
  <c r="AC47" i="1"/>
  <c r="AC39" i="1"/>
  <c r="AC50" i="1"/>
  <c r="AC54" i="1"/>
  <c r="AB39" i="1"/>
  <c r="AB52" i="1"/>
  <c r="AB53" i="1"/>
  <c r="AC40" i="1"/>
  <c r="AB50" i="1"/>
  <c r="AC43" i="1"/>
  <c r="AB37" i="1"/>
  <c r="DY9" i="1"/>
  <c r="DY18" i="1"/>
  <c r="DY24" i="1"/>
  <c r="EB27" i="1"/>
  <c r="DY21" i="1"/>
  <c r="DY15" i="1"/>
  <c r="BP15" i="1"/>
  <c r="BQ15" i="1" s="1"/>
  <c r="BP7" i="1"/>
  <c r="BQ7" i="1" s="1"/>
  <c r="BP9" i="1"/>
  <c r="BQ9" i="1" s="1"/>
  <c r="BP12" i="1"/>
  <c r="BQ12" i="1" s="1"/>
  <c r="BP8" i="1"/>
  <c r="BQ8" i="1" s="1"/>
  <c r="BP11" i="1"/>
  <c r="BQ11" i="1" s="1"/>
  <c r="BP10" i="1"/>
  <c r="BQ10" i="1" s="1"/>
  <c r="BP14" i="1"/>
  <c r="BQ14" i="1" s="1"/>
  <c r="BP6" i="1"/>
  <c r="BQ6" i="1" s="1"/>
  <c r="BP13" i="1"/>
  <c r="BQ13" i="1" s="1"/>
  <c r="BP5" i="1"/>
  <c r="BQ5" i="1" s="1"/>
  <c r="BW17" i="1"/>
  <c r="BY17" i="1" s="1"/>
  <c r="DB36" i="1" s="1"/>
  <c r="DY52" i="1"/>
  <c r="DY35" i="1"/>
  <c r="DY46" i="1"/>
  <c r="EB50" i="1"/>
  <c r="DY43" i="1"/>
  <c r="DY53" i="1"/>
  <c r="DY31" i="1"/>
  <c r="DY44" i="1"/>
  <c r="DY32" i="1"/>
  <c r="DY54" i="1"/>
  <c r="DY40" i="1"/>
  <c r="DY29" i="1"/>
  <c r="EB19" i="1"/>
  <c r="DY41" i="1"/>
  <c r="DY45" i="1"/>
  <c r="DY30" i="1"/>
  <c r="EB17" i="1"/>
  <c r="DY17" i="1"/>
  <c r="DY22" i="1"/>
  <c r="DY34" i="1"/>
  <c r="DY37" i="1"/>
  <c r="DY33" i="1"/>
  <c r="EB28" i="1"/>
  <c r="DY48" i="1"/>
  <c r="DY42" i="1"/>
  <c r="DY51" i="1"/>
  <c r="DY23" i="1"/>
  <c r="DY16" i="1"/>
  <c r="DY47" i="1"/>
  <c r="DY38" i="1"/>
  <c r="DY25" i="1"/>
  <c r="DY11" i="1"/>
  <c r="DY20" i="1"/>
  <c r="DY39" i="1"/>
  <c r="DY49" i="1"/>
  <c r="EB12" i="1"/>
  <c r="DY12" i="1"/>
  <c r="EB55" i="1"/>
  <c r="DY55" i="1"/>
  <c r="DB33" i="1"/>
  <c r="DB32" i="1"/>
  <c r="DB34" i="1"/>
  <c r="DB35" i="1"/>
  <c r="EG31" i="1"/>
  <c r="EG18" i="1"/>
  <c r="EG8" i="1"/>
  <c r="EG28" i="1"/>
  <c r="EG29" i="1"/>
  <c r="EG12" i="1"/>
  <c r="EG22" i="1"/>
  <c r="EG43" i="1"/>
  <c r="EG49" i="1"/>
  <c r="EG34" i="1"/>
  <c r="EG54" i="1"/>
  <c r="EG26" i="1"/>
  <c r="EG39" i="1"/>
  <c r="EG38" i="1"/>
  <c r="EG45" i="1"/>
  <c r="EG19" i="1"/>
  <c r="EG27" i="1"/>
  <c r="EG53" i="1"/>
  <c r="EG55" i="1"/>
  <c r="EG6" i="1"/>
  <c r="EG52" i="1"/>
  <c r="EG40" i="1"/>
  <c r="EG41" i="1"/>
  <c r="EG10" i="1"/>
  <c r="EG37" i="1"/>
  <c r="EG23" i="1"/>
  <c r="EG5" i="1"/>
  <c r="EG48" i="1"/>
  <c r="EG15" i="1"/>
  <c r="EG14" i="1"/>
  <c r="EG33" i="1"/>
  <c r="EG25" i="1"/>
  <c r="EG46" i="1"/>
  <c r="EG35" i="1"/>
  <c r="EG47" i="1"/>
  <c r="EG21" i="1"/>
  <c r="EG11" i="1"/>
  <c r="EG30" i="1"/>
  <c r="EG7" i="1"/>
  <c r="EG50" i="1"/>
  <c r="EG42" i="1"/>
  <c r="EG24" i="1"/>
  <c r="EG32" i="1"/>
  <c r="EG51" i="1"/>
  <c r="EG16" i="1"/>
  <c r="EG44" i="1"/>
  <c r="EG36" i="1"/>
  <c r="EG17" i="1"/>
  <c r="EG20" i="1"/>
  <c r="EG13" i="1"/>
  <c r="EG9" i="1"/>
  <c r="AD44" i="1" l="1"/>
  <c r="AD51" i="1"/>
  <c r="AD45" i="1"/>
  <c r="AD49" i="1"/>
  <c r="AD38" i="1"/>
  <c r="AD52" i="1"/>
  <c r="AD37" i="1"/>
  <c r="AD50" i="1"/>
  <c r="AD48" i="1"/>
  <c r="AD42" i="1"/>
  <c r="AD40" i="1"/>
  <c r="AD55" i="1"/>
  <c r="AD47" i="1"/>
  <c r="AD53" i="1"/>
  <c r="AD46" i="1"/>
  <c r="AD43" i="1"/>
  <c r="AD39" i="1"/>
  <c r="AD41" i="1"/>
  <c r="AD54" i="1"/>
  <c r="EE28" i="1"/>
  <c r="EE33" i="1"/>
  <c r="EE41" i="1"/>
  <c r="EE31" i="1"/>
  <c r="EE39" i="1"/>
  <c r="EE37" i="1"/>
  <c r="EE40" i="1"/>
  <c r="EE36" i="1"/>
  <c r="EE29" i="1"/>
  <c r="EE26" i="1"/>
  <c r="EE30" i="1"/>
  <c r="EE32" i="1"/>
  <c r="EE25" i="1"/>
  <c r="EE34" i="1"/>
  <c r="EE27" i="1"/>
  <c r="EE38" i="1"/>
  <c r="J7" i="2"/>
  <c r="EE24" i="1"/>
  <c r="G7" i="2"/>
  <c r="L7" i="2"/>
  <c r="BQ4" i="1"/>
  <c r="FA1" i="1"/>
  <c r="BS6" i="1"/>
  <c r="BS12" i="1"/>
  <c r="BS15" i="1"/>
  <c r="BS11" i="1"/>
  <c r="BS8" i="1"/>
  <c r="BS10" i="1"/>
  <c r="BS9" i="1"/>
  <c r="EB14" i="1"/>
  <c r="BS7" i="1"/>
  <c r="BS5" i="1"/>
  <c r="BS14" i="1"/>
  <c r="BS13" i="1"/>
  <c r="DO50" i="1"/>
  <c r="DQ50" i="1" s="1"/>
  <c r="DO53" i="1"/>
  <c r="DQ53" i="1" s="1"/>
  <c r="DO51" i="1"/>
  <c r="DQ51" i="1" s="1"/>
  <c r="DO49" i="1"/>
  <c r="DQ49" i="1" s="1"/>
  <c r="DO52" i="1"/>
  <c r="DQ52" i="1" s="1"/>
  <c r="DO55" i="1"/>
  <c r="DQ55" i="1" s="1"/>
  <c r="DO54" i="1"/>
  <c r="DQ54" i="1" s="1"/>
  <c r="F8" i="2"/>
  <c r="G8" i="2" s="1"/>
  <c r="BV8" i="2" l="1"/>
  <c r="AX8" i="2" s="1"/>
  <c r="BV7" i="2"/>
  <c r="AX7" i="2" s="1"/>
  <c r="AY7" i="2" s="1"/>
  <c r="BW7" i="2" s="1"/>
  <c r="J8" i="2"/>
  <c r="BL8" i="2"/>
  <c r="P7" i="2"/>
  <c r="BJ7" i="2"/>
  <c r="BL7" i="2"/>
  <c r="BI7" i="2"/>
  <c r="R7" i="2" s="1"/>
  <c r="BN7" i="2" s="1"/>
  <c r="BK7" i="2"/>
  <c r="L8" i="2"/>
  <c r="EB13" i="1"/>
  <c r="EU60" i="1"/>
  <c r="EW60" i="1" s="1"/>
  <c r="EB36" i="1"/>
  <c r="A7" i="2"/>
  <c r="F9" i="2"/>
  <c r="G9" i="2" l="1"/>
  <c r="J9" i="2"/>
  <c r="BJ8" i="2"/>
  <c r="BI8" i="2"/>
  <c r="R8" i="2" s="1"/>
  <c r="BN8" i="2" s="1"/>
  <c r="BK8" i="2"/>
  <c r="L9" i="2"/>
  <c r="A8" i="2"/>
  <c r="F10" i="2"/>
  <c r="FA55" i="1"/>
  <c r="FA53" i="1"/>
  <c r="FA54" i="1"/>
  <c r="FA52" i="1"/>
  <c r="P8" i="2"/>
  <c r="EZ54" i="1"/>
  <c r="EZ55" i="1"/>
  <c r="EZ53" i="1"/>
  <c r="BV9" i="2" l="1"/>
  <c r="AX9" i="2" s="1"/>
  <c r="BL9" i="2"/>
  <c r="G10" i="2"/>
  <c r="J10" i="2"/>
  <c r="BJ9" i="2"/>
  <c r="BI9" i="2"/>
  <c r="R9" i="2" s="1"/>
  <c r="BN9" i="2" s="1"/>
  <c r="BK9" i="2"/>
  <c r="L10" i="2"/>
  <c r="F11" i="2"/>
  <c r="A9" i="2"/>
  <c r="P9" i="2"/>
  <c r="BL10" i="2" l="1"/>
  <c r="BV10" i="2"/>
  <c r="AX10" i="2" s="1"/>
  <c r="G11" i="2"/>
  <c r="J11" i="2"/>
  <c r="BK10" i="2"/>
  <c r="BJ10" i="2"/>
  <c r="BI10" i="2"/>
  <c r="R10" i="2" s="1"/>
  <c r="BN10" i="2" s="1"/>
  <c r="L11" i="2"/>
  <c r="F12" i="2"/>
  <c r="A10" i="2"/>
  <c r="P10" i="2"/>
  <c r="BL11" i="2" l="1"/>
  <c r="BV11" i="2"/>
  <c r="AX11" i="2" s="1"/>
  <c r="G12" i="2"/>
  <c r="J12" i="2"/>
  <c r="BK11" i="2"/>
  <c r="BJ11" i="2"/>
  <c r="BI11" i="2"/>
  <c r="R11" i="2" s="1"/>
  <c r="BN11" i="2" s="1"/>
  <c r="F13" i="2"/>
  <c r="L12" i="2"/>
  <c r="A11" i="2"/>
  <c r="P11" i="2"/>
  <c r="BL12" i="2" l="1"/>
  <c r="BV12" i="2"/>
  <c r="AX12" i="2" s="1"/>
  <c r="G13" i="2"/>
  <c r="J13" i="2"/>
  <c r="BK12" i="2"/>
  <c r="BI12" i="2"/>
  <c r="R12" i="2" s="1"/>
  <c r="BN12" i="2" s="1"/>
  <c r="BJ12" i="2"/>
  <c r="F14" i="2"/>
  <c r="L13" i="2"/>
  <c r="P12" i="2"/>
  <c r="A12" i="2"/>
  <c r="BL13" i="2" l="1"/>
  <c r="BV13" i="2"/>
  <c r="AX13" i="2" s="1"/>
  <c r="G14" i="2"/>
  <c r="J14" i="2"/>
  <c r="BI13" i="2"/>
  <c r="R13" i="2" s="1"/>
  <c r="BN13" i="2" s="1"/>
  <c r="BK13" i="2"/>
  <c r="BJ13" i="2"/>
  <c r="F15" i="2"/>
  <c r="J15" i="2" s="1"/>
  <c r="L14" i="2"/>
  <c r="P13" i="2"/>
  <c r="A13" i="2"/>
  <c r="BJ14" i="2" l="1"/>
  <c r="BI14" i="2"/>
  <c r="R14" i="2" s="1"/>
  <c r="BN14" i="2" s="1"/>
  <c r="P14" i="2"/>
  <c r="A14" i="2"/>
  <c r="BL14" i="2"/>
  <c r="BV14" i="2"/>
  <c r="AX14" i="2" s="1"/>
  <c r="BK14" i="2"/>
  <c r="F16" i="2"/>
  <c r="G15" i="2"/>
  <c r="L15" i="2"/>
  <c r="BV15" i="2" l="1"/>
  <c r="AX15" i="2" s="1"/>
  <c r="G16" i="2"/>
  <c r="J16" i="2"/>
  <c r="BL15" i="2"/>
  <c r="F17" i="2"/>
  <c r="L16" i="2"/>
  <c r="BJ15" i="2"/>
  <c r="BI15" i="2"/>
  <c r="R15" i="2" s="1"/>
  <c r="BN15" i="2" s="1"/>
  <c r="BK15" i="2"/>
  <c r="A15" i="2"/>
  <c r="P15" i="2"/>
  <c r="BV16" i="2" l="1"/>
  <c r="AX16" i="2" s="1"/>
  <c r="A16" i="2"/>
  <c r="BK16" i="2"/>
  <c r="BI16" i="2"/>
  <c r="R16" i="2" s="1"/>
  <c r="BN16" i="2" s="1"/>
  <c r="BJ16" i="2"/>
  <c r="P16" i="2"/>
  <c r="BL16" i="2"/>
  <c r="G17" i="2"/>
  <c r="J17" i="2"/>
  <c r="F18" i="2"/>
  <c r="L17" i="2"/>
  <c r="BV17" i="2" l="1"/>
  <c r="AX17" i="2" s="1"/>
  <c r="A17" i="2"/>
  <c r="BK17" i="2"/>
  <c r="BI17" i="2"/>
  <c r="R17" i="2" s="1"/>
  <c r="BN17" i="2" s="1"/>
  <c r="BJ17" i="2"/>
  <c r="BL17" i="2"/>
  <c r="P17" i="2"/>
  <c r="G18" i="2"/>
  <c r="J18" i="2"/>
  <c r="L18" i="2"/>
  <c r="F19" i="2"/>
  <c r="BL18" i="2" l="1"/>
  <c r="BV18" i="2"/>
  <c r="AX18" i="2" s="1"/>
  <c r="A18" i="2"/>
  <c r="BJ18" i="2"/>
  <c r="P18" i="2"/>
  <c r="BI18" i="2"/>
  <c r="R18" i="2" s="1"/>
  <c r="BN18" i="2" s="1"/>
  <c r="BK18" i="2"/>
  <c r="G19" i="2"/>
  <c r="J19" i="2"/>
  <c r="L19" i="2"/>
  <c r="F20" i="2"/>
  <c r="BJ19" i="2" l="1"/>
  <c r="BI19" i="2"/>
  <c r="R19" i="2" s="1"/>
  <c r="BN19" i="2" s="1"/>
  <c r="BL19" i="2"/>
  <c r="BV19" i="2"/>
  <c r="AX19" i="2" s="1"/>
  <c r="A19" i="2"/>
  <c r="P19" i="2"/>
  <c r="BK19" i="2"/>
  <c r="G20" i="2"/>
  <c r="J20" i="2"/>
  <c r="F21" i="2"/>
  <c r="L20" i="2"/>
  <c r="BI20" i="2" l="1"/>
  <c r="R20" i="2" s="1"/>
  <c r="BN20" i="2" s="1"/>
  <c r="BV20" i="2"/>
  <c r="AX20" i="2" s="1"/>
  <c r="BJ20" i="2"/>
  <c r="BK20" i="2"/>
  <c r="BL20" i="2"/>
  <c r="P20" i="2"/>
  <c r="A20" i="2"/>
  <c r="G21" i="2"/>
  <c r="J21" i="2"/>
  <c r="L21" i="2"/>
  <c r="F22" i="2"/>
  <c r="P21" i="2" l="1"/>
  <c r="BV21" i="2"/>
  <c r="AX21" i="2" s="1"/>
  <c r="BJ21" i="2"/>
  <c r="BK21" i="2"/>
  <c r="BL21" i="2"/>
  <c r="A21" i="2"/>
  <c r="BI21" i="2"/>
  <c r="R21" i="2" s="1"/>
  <c r="BN21" i="2" s="1"/>
  <c r="G22" i="2"/>
  <c r="J22" i="2"/>
  <c r="F23" i="2"/>
  <c r="L22" i="2"/>
  <c r="P22" i="2" l="1"/>
  <c r="BV22" i="2"/>
  <c r="AX22" i="2" s="1"/>
  <c r="BJ22" i="2"/>
  <c r="BK22" i="2"/>
  <c r="A22" i="2"/>
  <c r="BI22" i="2"/>
  <c r="R22" i="2" s="1"/>
  <c r="BN22" i="2" s="1"/>
  <c r="BL22" i="2"/>
  <c r="G23" i="2"/>
  <c r="J23" i="2"/>
  <c r="L23" i="2"/>
  <c r="F24" i="2"/>
  <c r="BK23" i="2" l="1"/>
  <c r="BV23" i="2"/>
  <c r="AX23" i="2" s="1"/>
  <c r="BL23" i="2"/>
  <c r="P23" i="2"/>
  <c r="BI23" i="2"/>
  <c r="R23" i="2" s="1"/>
  <c r="BN23" i="2" s="1"/>
  <c r="A23" i="2"/>
  <c r="BJ23" i="2"/>
  <c r="G24" i="2"/>
  <c r="J24" i="2"/>
  <c r="L24" i="2"/>
  <c r="F25" i="2"/>
  <c r="F26" i="2" s="1"/>
  <c r="P24" i="2" l="1"/>
  <c r="BV24" i="2"/>
  <c r="AX24" i="2" s="1"/>
  <c r="BL24" i="2"/>
  <c r="A24" i="2"/>
  <c r="BJ24" i="2"/>
  <c r="BK24" i="2"/>
  <c r="BI24" i="2"/>
  <c r="R24" i="2" s="1"/>
  <c r="BN24" i="2" s="1"/>
  <c r="F27" i="2"/>
  <c r="F28" i="2" s="1"/>
  <c r="F29" i="2" s="1"/>
  <c r="F30" i="2" s="1"/>
  <c r="F31" i="2" s="1"/>
  <c r="F32" i="2" s="1"/>
  <c r="F33" i="2" s="1"/>
  <c r="F34" i="2" s="1"/>
  <c r="F35" i="2" s="1"/>
  <c r="D25" i="2"/>
  <c r="A25" i="2"/>
  <c r="EZ52" i="1" l="1"/>
  <c r="FA38" i="1" l="1"/>
  <c r="EZ38" i="1"/>
  <c r="FA42" i="1" l="1"/>
  <c r="EZ42" i="1"/>
  <c r="EZ45" i="1" l="1"/>
  <c r="FA45" i="1"/>
  <c r="FA43" i="1" l="1"/>
  <c r="EZ43" i="1"/>
  <c r="EZ40" i="1" l="1"/>
  <c r="FA40" i="1"/>
  <c r="EZ44" i="1"/>
  <c r="FA44" i="1"/>
  <c r="EZ47" i="1"/>
  <c r="EZ41" i="1"/>
  <c r="FA41" i="1"/>
  <c r="FA39" i="1"/>
  <c r="EZ39" i="1"/>
  <c r="EZ49" i="1"/>
  <c r="FA49" i="1"/>
  <c r="EZ48" i="1"/>
  <c r="FA48" i="1"/>
  <c r="FA46" i="1"/>
  <c r="EZ46" i="1"/>
  <c r="EZ50" i="1" l="1"/>
  <c r="FA50" i="1"/>
  <c r="EZ51" i="1" l="1"/>
  <c r="FA51" i="1"/>
  <c r="Q40" i="4" l="1"/>
  <c r="AW27" i="5" l="1"/>
  <c r="E46" i="6" l="1"/>
  <c r="FA47" i="1" l="1"/>
  <c r="DX48" i="1" l="1"/>
  <c r="DZ48" i="1" s="1"/>
  <c r="EA48" i="1" s="1"/>
  <c r="DX43" i="1"/>
  <c r="DZ43" i="1" s="1"/>
  <c r="EA43" i="1" s="1"/>
  <c r="DX52" i="1"/>
  <c r="DZ52" i="1" s="1"/>
  <c r="EA52" i="1" s="1"/>
  <c r="DX27" i="1"/>
  <c r="DZ27" i="1" s="1"/>
  <c r="EA27" i="1" s="1"/>
  <c r="DX29" i="1"/>
  <c r="DZ29" i="1" s="1"/>
  <c r="EA29" i="1" s="1"/>
  <c r="DX36" i="1"/>
  <c r="DZ36" i="1" s="1"/>
  <c r="EA36" i="1" s="1"/>
  <c r="DX21" i="1"/>
  <c r="DX35" i="1"/>
  <c r="DZ35" i="1" s="1"/>
  <c r="EA35" i="1" s="1"/>
  <c r="DX46" i="1"/>
  <c r="DZ46" i="1" s="1"/>
  <c r="EA46" i="1" s="1"/>
  <c r="DX28" i="1"/>
  <c r="DZ28" i="1" s="1"/>
  <c r="EA28" i="1" s="1"/>
  <c r="DX22" i="1"/>
  <c r="DZ22" i="1" s="1"/>
  <c r="EA22" i="1" s="1"/>
  <c r="DX32" i="1"/>
  <c r="DZ32" i="1" s="1"/>
  <c r="EA32" i="1" s="1"/>
  <c r="DX20" i="1"/>
  <c r="DZ20" i="1" s="1"/>
  <c r="EA20" i="1" s="1"/>
  <c r="DX50" i="1"/>
  <c r="DZ50" i="1" s="1"/>
  <c r="EA50" i="1" s="1"/>
  <c r="DX55" i="1"/>
  <c r="DZ55" i="1" s="1"/>
  <c r="EA55" i="1" s="1"/>
  <c r="DX38" i="1"/>
  <c r="DX53" i="1"/>
  <c r="DZ53" i="1" s="1"/>
  <c r="EA53" i="1" s="1"/>
  <c r="DX11" i="1"/>
  <c r="DZ11" i="1" s="1"/>
  <c r="EA11" i="1" s="1"/>
  <c r="DX47" i="1"/>
  <c r="DZ47" i="1" s="1"/>
  <c r="EA47" i="1" s="1"/>
  <c r="DX30" i="1"/>
  <c r="DZ30" i="1" s="1"/>
  <c r="EA30" i="1" s="1"/>
  <c r="DX45" i="1"/>
  <c r="DZ45" i="1" s="1"/>
  <c r="EA45" i="1" s="1"/>
  <c r="DX41" i="1"/>
  <c r="DZ41" i="1" s="1"/>
  <c r="EA41" i="1" s="1"/>
  <c r="DX42" i="1"/>
  <c r="DZ42" i="1" s="1"/>
  <c r="EA42" i="1" s="1"/>
  <c r="DX39" i="1"/>
  <c r="DZ39" i="1" s="1"/>
  <c r="EA39" i="1" s="1"/>
  <c r="DX37" i="1"/>
  <c r="DZ37" i="1" s="1"/>
  <c r="EA37" i="1" s="1"/>
  <c r="DX40" i="1"/>
  <c r="DX44" i="1"/>
  <c r="DZ44" i="1" s="1"/>
  <c r="EA44" i="1" s="1"/>
  <c r="DX26" i="1"/>
  <c r="DX31" i="1"/>
  <c r="DZ31" i="1" s="1"/>
  <c r="EA31" i="1" s="1"/>
  <c r="DX24" i="1"/>
  <c r="DZ24" i="1" s="1"/>
  <c r="EA24" i="1" s="1"/>
  <c r="DX34" i="1"/>
  <c r="DZ34" i="1" s="1"/>
  <c r="EA34" i="1" s="1"/>
  <c r="DX23" i="1"/>
  <c r="DX33" i="1"/>
  <c r="DZ33" i="1" s="1"/>
  <c r="EA33" i="1" s="1"/>
  <c r="DX49" i="1"/>
  <c r="DZ49" i="1" s="1"/>
  <c r="EA49" i="1" s="1"/>
  <c r="DX51" i="1"/>
  <c r="DZ51" i="1" s="1"/>
  <c r="EA51" i="1" s="1"/>
  <c r="DX9" i="1"/>
  <c r="DZ9" i="1" s="1"/>
  <c r="EA9" i="1" s="1"/>
  <c r="DX7" i="1"/>
  <c r="DZ7" i="1" s="1"/>
  <c r="EA7" i="1" s="1"/>
  <c r="DX54" i="1"/>
  <c r="DZ54" i="1" s="1"/>
  <c r="EA54" i="1" s="1"/>
  <c r="DX25" i="1"/>
  <c r="DZ25" i="1" s="1"/>
  <c r="EA25" i="1" s="1"/>
  <c r="DX5" i="1"/>
  <c r="DZ5" i="1" s="1"/>
  <c r="EA5" i="1" s="1"/>
  <c r="DZ40" i="1" l="1"/>
  <c r="EA40" i="1" s="1"/>
  <c r="N53" i="1"/>
  <c r="K53" i="1"/>
  <c r="DZ23" i="1"/>
  <c r="EA23" i="1" s="1"/>
  <c r="DZ38" i="1"/>
  <c r="EA38" i="1" s="1"/>
  <c r="H53" i="1"/>
  <c r="DZ26" i="1"/>
  <c r="EA26" i="1" s="1"/>
  <c r="M53" i="1"/>
  <c r="J53" i="1"/>
  <c r="DZ21" i="1"/>
  <c r="EA21" i="1" s="1"/>
  <c r="DX15" i="1"/>
  <c r="DZ15" i="1" s="1"/>
  <c r="EA15" i="1" s="1"/>
  <c r="EC15" i="1" s="1"/>
  <c r="EH15" i="1" s="1"/>
  <c r="DX13" i="1"/>
  <c r="DZ13" i="1" s="1"/>
  <c r="EA13" i="1" s="1"/>
  <c r="EC13" i="1" s="1"/>
  <c r="EH13" i="1" s="1"/>
  <c r="DX16" i="1"/>
  <c r="DX17" i="1"/>
  <c r="DZ17" i="1" s="1"/>
  <c r="EA17" i="1" s="1"/>
  <c r="EC17" i="1" s="1"/>
  <c r="DX6" i="1"/>
  <c r="DZ6" i="1" s="1"/>
  <c r="EA6" i="1" s="1"/>
  <c r="DX19" i="1"/>
  <c r="DZ19" i="1" s="1"/>
  <c r="EA19" i="1" s="1"/>
  <c r="EC19" i="1" s="1"/>
  <c r="EH19" i="1" s="1"/>
  <c r="DX8" i="1"/>
  <c r="DX18" i="1"/>
  <c r="DZ18" i="1" s="1"/>
  <c r="EA18" i="1" s="1"/>
  <c r="EC18" i="1" s="1"/>
  <c r="EH18" i="1" s="1"/>
  <c r="DX4" i="1"/>
  <c r="DZ4" i="1" s="1"/>
  <c r="EA4" i="1" s="1"/>
  <c r="DX12" i="1"/>
  <c r="DZ12" i="1" s="1"/>
  <c r="EA12" i="1" s="1"/>
  <c r="EC12" i="1" s="1"/>
  <c r="EH12" i="1" s="1"/>
  <c r="DX14" i="1"/>
  <c r="DZ14" i="1" s="1"/>
  <c r="EA14" i="1" s="1"/>
  <c r="EC14" i="1" s="1"/>
  <c r="EH14" i="1" s="1"/>
  <c r="DX10" i="1"/>
  <c r="H9" i="2"/>
  <c r="I9" i="2" s="1"/>
  <c r="H8" i="2"/>
  <c r="I8" i="2" s="1"/>
  <c r="H21" i="2"/>
  <c r="I21" i="2" s="1"/>
  <c r="H22" i="2"/>
  <c r="I22" i="2" s="1"/>
  <c r="H10" i="2"/>
  <c r="I10" i="2" s="1"/>
  <c r="H24" i="2"/>
  <c r="I24" i="2" s="1"/>
  <c r="H23" i="2"/>
  <c r="I23" i="2" s="1"/>
  <c r="H7" i="2"/>
  <c r="I7" i="2" s="1"/>
  <c r="H12" i="2"/>
  <c r="I12" i="2" s="1"/>
  <c r="H14" i="2"/>
  <c r="I14" i="2" s="1"/>
  <c r="H13" i="2"/>
  <c r="I13" i="2" s="1"/>
  <c r="H11" i="2"/>
  <c r="I11" i="2" s="1"/>
  <c r="H19" i="2"/>
  <c r="I19" i="2" s="1"/>
  <c r="H18" i="2"/>
  <c r="I18" i="2" s="1"/>
  <c r="H16" i="2"/>
  <c r="I16" i="2" s="1"/>
  <c r="H17" i="2"/>
  <c r="I17" i="2" s="1"/>
  <c r="H15" i="2"/>
  <c r="I15" i="2" s="1"/>
  <c r="H20" i="2"/>
  <c r="I20" i="2" s="1"/>
  <c r="G53" i="1" l="1"/>
  <c r="O53" i="1"/>
  <c r="DZ10" i="1"/>
  <c r="EA10" i="1" s="1"/>
  <c r="L53" i="1"/>
  <c r="I53" i="1"/>
  <c r="EH17" i="1"/>
  <c r="DZ16" i="1"/>
  <c r="EA16" i="1" s="1"/>
  <c r="EC16" i="1" s="1"/>
  <c r="EH16" i="1" s="1"/>
  <c r="E53" i="1"/>
  <c r="DZ8" i="1"/>
  <c r="EA8" i="1" s="1"/>
  <c r="EC47" i="1"/>
  <c r="EH47" i="1" s="1"/>
  <c r="EC23" i="1"/>
  <c r="EH23" i="1" s="1"/>
  <c r="EC46" i="1"/>
  <c r="EH46" i="1" s="1"/>
  <c r="EC44" i="1"/>
  <c r="EH44" i="1" s="1"/>
  <c r="EC51" i="1"/>
  <c r="EH51" i="1" s="1"/>
  <c r="EC30" i="1"/>
  <c r="EH30" i="1" s="1"/>
  <c r="EC41" i="1"/>
  <c r="EH41" i="1" s="1"/>
  <c r="EC34" i="1"/>
  <c r="EH34" i="1" s="1"/>
  <c r="EC42" i="1"/>
  <c r="EH42" i="1" s="1"/>
  <c r="EC40" i="1"/>
  <c r="EH40" i="1" s="1"/>
  <c r="EC52" i="1"/>
  <c r="EH52" i="1" s="1"/>
  <c r="EC22" i="1"/>
  <c r="EH22" i="1" s="1"/>
  <c r="EC33" i="1"/>
  <c r="EH33" i="1" s="1"/>
  <c r="EC28" i="1"/>
  <c r="EH28" i="1" s="1"/>
  <c r="EC45" i="1"/>
  <c r="EH45" i="1" s="1"/>
  <c r="EC39" i="1"/>
  <c r="EH39" i="1" s="1"/>
  <c r="EC25" i="1"/>
  <c r="EH25" i="1" s="1"/>
  <c r="EC11" i="1"/>
  <c r="EH11" i="1" s="1"/>
  <c r="EC54" i="1"/>
  <c r="EH54" i="1" s="1"/>
  <c r="EC27" i="1"/>
  <c r="EH27" i="1" s="1"/>
  <c r="EC21" i="1"/>
  <c r="EH21" i="1" s="1"/>
  <c r="EC53" i="1"/>
  <c r="EH53" i="1" s="1"/>
  <c r="EC36" i="1"/>
  <c r="EH36" i="1" s="1"/>
  <c r="EC20" i="1"/>
  <c r="EH20" i="1" s="1"/>
  <c r="EC55" i="1"/>
  <c r="EH55" i="1" s="1"/>
  <c r="EC32" i="1"/>
  <c r="EH32" i="1" s="1"/>
  <c r="EC49" i="1"/>
  <c r="EH49" i="1" s="1"/>
  <c r="EC31" i="1"/>
  <c r="EH31" i="1" s="1"/>
  <c r="EC24" i="1"/>
  <c r="EH24" i="1" s="1"/>
  <c r="EC29" i="1"/>
  <c r="EH29" i="1" s="1"/>
  <c r="EC38" i="1"/>
  <c r="EH38" i="1" s="1"/>
  <c r="EC48" i="1"/>
  <c r="EH48" i="1" s="1"/>
  <c r="EC37" i="1"/>
  <c r="EH37" i="1" s="1"/>
  <c r="EC50" i="1"/>
  <c r="EH50" i="1" s="1"/>
  <c r="EC43" i="1"/>
  <c r="EH43" i="1" s="1"/>
  <c r="EC4" i="1"/>
  <c r="EH4" i="1" s="1"/>
  <c r="C53" i="1"/>
  <c r="F53" i="1"/>
  <c r="D53" i="1"/>
  <c r="M22" i="2" l="1"/>
  <c r="M19" i="2"/>
  <c r="M16" i="2"/>
  <c r="M23" i="2"/>
  <c r="M14" i="2"/>
  <c r="M20" i="2"/>
  <c r="M21" i="2"/>
  <c r="Q2" i="9" l="1"/>
  <c r="Q4" i="9" l="1"/>
  <c r="A19" i="11" s="1"/>
  <c r="C19" i="11" l="1"/>
  <c r="D19" i="11" s="1"/>
  <c r="O19" i="11" l="1"/>
  <c r="H19" i="11"/>
  <c r="E19" i="11"/>
  <c r="G19" i="11"/>
  <c r="N19" i="11"/>
  <c r="P19" i="11" l="1"/>
  <c r="I19" i="11"/>
  <c r="F19" i="11"/>
  <c r="L19" i="11" l="1"/>
  <c r="J19" i="11"/>
  <c r="K19" i="11"/>
  <c r="M19" i="11" l="1"/>
  <c r="Q19" i="11" s="1"/>
  <c r="B19" i="11" s="1"/>
  <c r="N22" i="2" l="1"/>
  <c r="AZ22" i="2" s="1"/>
  <c r="BA22" i="2" s="1"/>
  <c r="BF22" i="2" l="1"/>
  <c r="BG22" i="2"/>
  <c r="BH22" i="2"/>
  <c r="N23" i="2"/>
  <c r="BG23" i="2" l="1"/>
  <c r="AZ23" i="2"/>
  <c r="BA23" i="2" s="1"/>
  <c r="N24" i="2"/>
  <c r="BH23" i="2"/>
  <c r="BF23" i="2"/>
  <c r="FA29" i="1"/>
  <c r="EZ29" i="1"/>
  <c r="BG24" i="2" l="1"/>
  <c r="AZ24" i="2"/>
  <c r="BA24" i="2" s="1"/>
  <c r="BF24" i="2"/>
  <c r="BH24" i="2"/>
  <c r="FA30" i="1"/>
  <c r="EZ30" i="1"/>
  <c r="EZ31" i="1" l="1"/>
  <c r="FA31" i="1"/>
  <c r="FA32" i="1" l="1"/>
  <c r="EZ32" i="1"/>
  <c r="EZ33" i="1" l="1"/>
  <c r="FA33" i="1"/>
  <c r="FA34" i="1" l="1"/>
  <c r="EZ34" i="1"/>
  <c r="FA35" i="1" l="1"/>
  <c r="EZ35" i="1"/>
  <c r="FA36" i="1" l="1"/>
  <c r="EZ36" i="1"/>
  <c r="EZ37" i="1" l="1"/>
  <c r="FA37" i="1"/>
  <c r="EV69" i="1"/>
  <c r="S14" i="4" l="1"/>
  <c r="R36" i="4"/>
  <c r="AR44" i="5" l="1"/>
  <c r="I42" i="8"/>
  <c r="R39" i="4"/>
  <c r="AR47" i="5" l="1"/>
  <c r="I45" i="8"/>
  <c r="S36" i="4"/>
  <c r="J29" i="1" s="1"/>
  <c r="AS44" i="5" l="1"/>
  <c r="AT44" i="5" s="1"/>
  <c r="Q38" i="4"/>
  <c r="R38" i="4" l="1"/>
  <c r="AR46" i="5" l="1"/>
  <c r="I44" i="8"/>
  <c r="S38" i="4"/>
  <c r="S37" i="4"/>
  <c r="AS45" i="5" s="1"/>
  <c r="AT45" i="5" s="1"/>
  <c r="AS46" i="5" l="1"/>
  <c r="AT46" i="5" s="1"/>
  <c r="J32" i="1"/>
  <c r="AR45" i="5"/>
  <c r="Q37" i="4"/>
  <c r="S39" i="4" l="1"/>
  <c r="AS47" i="5" s="1"/>
  <c r="AT47" i="5" s="1"/>
  <c r="BT15" i="1" l="1"/>
  <c r="BT6" i="1"/>
  <c r="BT13" i="1"/>
  <c r="BT7" i="1"/>
  <c r="BT9" i="1"/>
  <c r="BT8" i="1"/>
  <c r="BT5" i="1"/>
  <c r="BT11" i="1"/>
  <c r="BT12" i="1"/>
  <c r="BT14" i="1"/>
  <c r="BT10" i="1"/>
  <c r="BT4" i="1"/>
  <c r="BU4" i="1" s="1"/>
  <c r="EB26" i="1"/>
  <c r="EC26" i="1" s="1"/>
  <c r="EH26" i="1" s="1"/>
  <c r="M15" i="2" s="1"/>
  <c r="EB35" i="1" l="1"/>
  <c r="EC35" i="1" s="1"/>
  <c r="EH35" i="1" s="1"/>
  <c r="EB9" i="1"/>
  <c r="EC9" i="1" s="1"/>
  <c r="EH9" i="1" s="1"/>
  <c r="EB8" i="1"/>
  <c r="EC8" i="1" s="1"/>
  <c r="EH8" i="1" s="1"/>
  <c r="EB7" i="1"/>
  <c r="EC7" i="1" s="1"/>
  <c r="EH7" i="1" s="1"/>
  <c r="EB10" i="1"/>
  <c r="EC10" i="1" s="1"/>
  <c r="EH10" i="1" s="1"/>
  <c r="M13" i="2" s="1"/>
  <c r="EB6" i="1"/>
  <c r="EC6" i="1" s="1"/>
  <c r="EH6" i="1" s="1"/>
  <c r="M7" i="2" s="1"/>
  <c r="EB5" i="1"/>
  <c r="EC5" i="1" s="1"/>
  <c r="EH5" i="1" s="1"/>
  <c r="EG1" i="1" s="1"/>
  <c r="BU5" i="1"/>
  <c r="BU11" i="1"/>
  <c r="BU9" i="1"/>
  <c r="BU7" i="1"/>
  <c r="BU13" i="1"/>
  <c r="BU14" i="1"/>
  <c r="BU6" i="1"/>
  <c r="BU8" i="1"/>
  <c r="BX16" i="1"/>
  <c r="BX18" i="1"/>
  <c r="BX14" i="1"/>
  <c r="BX17" i="1"/>
  <c r="BX15" i="1"/>
  <c r="BX4" i="1"/>
  <c r="BY4" i="1" s="1"/>
  <c r="BU10" i="1"/>
  <c r="BU12" i="1"/>
  <c r="BU15" i="1"/>
  <c r="M9" i="2" l="1"/>
  <c r="M8" i="2"/>
  <c r="M12" i="2"/>
  <c r="M24" i="2"/>
  <c r="M11" i="2"/>
  <c r="M10" i="2"/>
  <c r="M18" i="2"/>
  <c r="M17" i="2"/>
  <c r="BX5" i="1"/>
  <c r="BY5" i="1" s="1"/>
  <c r="DB23" i="1"/>
  <c r="BX6" i="1" l="1"/>
  <c r="BY6" i="1" s="1"/>
  <c r="DB24" i="1"/>
  <c r="BX7" i="1" l="1"/>
  <c r="BY7" i="1" s="1"/>
  <c r="DB25" i="1"/>
  <c r="BX8" i="1" l="1"/>
  <c r="BY8" i="1" s="1"/>
  <c r="DB26" i="1"/>
  <c r="BX9" i="1" l="1"/>
  <c r="BY9" i="1" s="1"/>
  <c r="DB27" i="1"/>
  <c r="BX10" i="1" l="1"/>
  <c r="BY10" i="1" s="1"/>
  <c r="DB28" i="1"/>
  <c r="BX11" i="1" l="1"/>
  <c r="BY11" i="1" s="1"/>
  <c r="DB29" i="1"/>
  <c r="BX12" i="1" l="1"/>
  <c r="BY12" i="1" s="1"/>
  <c r="DG51" i="1" s="1"/>
  <c r="DB30" i="1"/>
  <c r="DB31" i="1" l="1"/>
  <c r="BX13" i="1"/>
  <c r="DE33" i="1" l="1"/>
  <c r="DG33" i="1" s="1"/>
  <c r="DE20" i="1"/>
  <c r="DG20" i="1" s="1"/>
  <c r="DE8" i="1"/>
  <c r="DG8" i="1" s="1"/>
  <c r="DE32" i="1"/>
  <c r="DG32" i="1" s="1"/>
  <c r="DE44" i="1"/>
  <c r="DG44" i="1" s="1"/>
  <c r="DE16" i="1"/>
  <c r="DG16" i="1" s="1"/>
  <c r="DE9" i="1"/>
  <c r="DG9" i="1" s="1"/>
  <c r="DE34" i="1"/>
  <c r="DG34" i="1" s="1"/>
  <c r="DE46" i="1"/>
  <c r="DG46" i="1" s="1"/>
  <c r="DE36" i="1"/>
  <c r="DG36" i="1" s="1"/>
  <c r="DE18" i="1"/>
  <c r="DG18" i="1" s="1"/>
  <c r="DE35" i="1"/>
  <c r="DG35" i="1" s="1"/>
  <c r="DE39" i="1"/>
  <c r="DG39" i="1" s="1"/>
  <c r="DE28" i="1"/>
  <c r="DG28" i="1" s="1"/>
  <c r="DE24" i="1"/>
  <c r="DG24" i="1" s="1"/>
  <c r="DE19" i="1"/>
  <c r="DG19" i="1" s="1"/>
  <c r="DE38" i="1"/>
  <c r="DG38" i="1" s="1"/>
  <c r="DE41" i="1"/>
  <c r="DG41" i="1" s="1"/>
  <c r="DE23" i="1"/>
  <c r="DG23" i="1" s="1"/>
  <c r="DE11" i="1"/>
  <c r="DG11" i="1" s="1"/>
  <c r="DE12" i="1"/>
  <c r="DG12" i="1" s="1"/>
  <c r="DE37" i="1"/>
  <c r="DG37" i="1" s="1"/>
  <c r="DE13" i="1"/>
  <c r="DG13" i="1" s="1"/>
  <c r="DJ13" i="1" s="1"/>
  <c r="DE14" i="1"/>
  <c r="DG14" i="1" s="1"/>
  <c r="DJ14" i="1" s="1"/>
  <c r="DE26" i="1"/>
  <c r="DG26" i="1" s="1"/>
  <c r="DE6" i="1"/>
  <c r="DG6" i="1" s="1"/>
  <c r="DE43" i="1"/>
  <c r="DG43" i="1" s="1"/>
  <c r="DE17" i="1"/>
  <c r="DG17" i="1" s="1"/>
  <c r="DE25" i="1"/>
  <c r="DG25" i="1" s="1"/>
  <c r="DE22" i="1"/>
  <c r="DG22" i="1" s="1"/>
  <c r="DE15" i="1"/>
  <c r="DG15" i="1" s="1"/>
  <c r="DE40" i="1"/>
  <c r="DG40" i="1" s="1"/>
  <c r="DJ41" i="1" s="1"/>
  <c r="Z43" i="1" s="1"/>
  <c r="DE48" i="1"/>
  <c r="DG48" i="1" s="1"/>
  <c r="DE5" i="1"/>
  <c r="DG5" i="1" s="1"/>
  <c r="DJ5" i="1" s="1"/>
  <c r="DE47" i="1"/>
  <c r="DG47" i="1" s="1"/>
  <c r="DJ48" i="1" s="1"/>
  <c r="DE7" i="1"/>
  <c r="DG7" i="1" s="1"/>
  <c r="DE10" i="1"/>
  <c r="DG10" i="1" s="1"/>
  <c r="DE21" i="1"/>
  <c r="DG21" i="1" s="1"/>
  <c r="DE31" i="1"/>
  <c r="DG31" i="1" s="1"/>
  <c r="DE29" i="1"/>
  <c r="DG29" i="1" s="1"/>
  <c r="DE45" i="1"/>
  <c r="DG45" i="1" s="1"/>
  <c r="DJ45" i="1" s="1"/>
  <c r="DE27" i="1"/>
  <c r="DG27" i="1" s="1"/>
  <c r="DE4" i="1"/>
  <c r="DG4" i="1" s="1"/>
  <c r="DJ4" i="1" s="1"/>
  <c r="Z6" i="1" s="1"/>
  <c r="DE30" i="1"/>
  <c r="DG30" i="1" s="1"/>
  <c r="DE42" i="1"/>
  <c r="DG42" i="1" s="1"/>
  <c r="DJ40" i="1" l="1"/>
  <c r="Z42" i="1" s="1"/>
  <c r="DJ44" i="1"/>
  <c r="Z46" i="1" s="1"/>
  <c r="Z50" i="1"/>
  <c r="DO48" i="1"/>
  <c r="DQ48" i="1" s="1"/>
  <c r="DJ46" i="1"/>
  <c r="Z48" i="1" s="1"/>
  <c r="DJ47" i="1"/>
  <c r="Z49" i="1" s="1"/>
  <c r="DJ27" i="1"/>
  <c r="DJ26" i="1"/>
  <c r="DJ25" i="1"/>
  <c r="DO25" i="1" s="1"/>
  <c r="DQ25" i="1" s="1"/>
  <c r="DJ42" i="1"/>
  <c r="Z44" i="1" s="1"/>
  <c r="DJ43" i="1"/>
  <c r="Z45" i="1" s="1"/>
  <c r="Z47" i="1"/>
  <c r="DO45" i="1"/>
  <c r="DQ45" i="1" s="1"/>
  <c r="DJ39" i="1"/>
  <c r="Z41" i="1" s="1"/>
  <c r="DJ38" i="1"/>
  <c r="DO38" i="1" s="1"/>
  <c r="DQ38" i="1" s="1"/>
  <c r="DJ6" i="1"/>
  <c r="DO6" i="1" s="1"/>
  <c r="DQ6" i="1" s="1"/>
  <c r="DJ21" i="1"/>
  <c r="Z23" i="1" s="1"/>
  <c r="DJ8" i="1"/>
  <c r="DO8" i="1" s="1"/>
  <c r="DQ8" i="1" s="1"/>
  <c r="DJ16" i="1"/>
  <c r="Z18" i="1" s="1"/>
  <c r="DJ18" i="1"/>
  <c r="Z20" i="1" s="1"/>
  <c r="DJ9" i="1"/>
  <c r="Z11" i="1" s="1"/>
  <c r="DJ17" i="1"/>
  <c r="Z19" i="1" s="1"/>
  <c r="DJ20" i="1"/>
  <c r="DO20" i="1" s="1"/>
  <c r="DQ20" i="1" s="1"/>
  <c r="DJ34" i="1"/>
  <c r="Z36" i="1" s="1"/>
  <c r="DJ15" i="1"/>
  <c r="DO15" i="1" s="1"/>
  <c r="DJ35" i="1"/>
  <c r="Z37" i="1" s="1"/>
  <c r="DJ36" i="1"/>
  <c r="Z38" i="1" s="1"/>
  <c r="DJ24" i="1"/>
  <c r="DO24" i="1" s="1"/>
  <c r="DQ24" i="1" s="1"/>
  <c r="DJ28" i="1"/>
  <c r="Z30" i="1" s="1"/>
  <c r="DJ37" i="1"/>
  <c r="DJ19" i="1"/>
  <c r="DO19" i="1" s="1"/>
  <c r="DJ22" i="1"/>
  <c r="DO22" i="1" s="1"/>
  <c r="Z16" i="1"/>
  <c r="DO14" i="1"/>
  <c r="DQ14" i="1" s="1"/>
  <c r="Z15" i="1"/>
  <c r="DJ31" i="1"/>
  <c r="Z33" i="1" s="1"/>
  <c r="DJ10" i="1"/>
  <c r="DJ30" i="1"/>
  <c r="Z32" i="1" s="1"/>
  <c r="DJ23" i="1"/>
  <c r="Z25" i="1" s="1"/>
  <c r="DJ33" i="1"/>
  <c r="DJ11" i="1"/>
  <c r="DO11" i="1" s="1"/>
  <c r="DQ11" i="1" s="1"/>
  <c r="DJ29" i="1"/>
  <c r="DJ32" i="1"/>
  <c r="DJ7" i="1"/>
  <c r="DO5" i="1"/>
  <c r="DQ5" i="1" s="1"/>
  <c r="Z7" i="1"/>
  <c r="DJ12" i="1"/>
  <c r="DI5" i="1"/>
  <c r="DM5" i="1" s="1"/>
  <c r="DI4" i="1"/>
  <c r="DM4" i="1" s="1"/>
  <c r="DO4" i="1"/>
  <c r="DQ4" i="1" s="1"/>
  <c r="DO40" i="1"/>
  <c r="DQ40" i="1" s="1"/>
  <c r="DO41" i="1"/>
  <c r="DQ41" i="1" s="1"/>
  <c r="K23" i="2" l="1"/>
  <c r="DO44" i="1"/>
  <c r="DQ44" i="1" s="1"/>
  <c r="DO47" i="1"/>
  <c r="DQ47" i="1" s="1"/>
  <c r="DO46" i="1"/>
  <c r="DQ46" i="1" s="1"/>
  <c r="K9" i="2"/>
  <c r="K24" i="2"/>
  <c r="AY24" i="2" s="1"/>
  <c r="BW24" i="2" s="1"/>
  <c r="DO42" i="1"/>
  <c r="DQ42" i="1" s="1"/>
  <c r="DO43" i="1"/>
  <c r="DQ43" i="1" s="1"/>
  <c r="AY23" i="2"/>
  <c r="BW23" i="2" s="1"/>
  <c r="W23" i="2"/>
  <c r="Z29" i="1"/>
  <c r="Z28" i="1"/>
  <c r="K21" i="2"/>
  <c r="K22" i="2"/>
  <c r="W22" i="2" s="1"/>
  <c r="D23" i="2"/>
  <c r="DO21" i="1"/>
  <c r="DV47" i="1"/>
  <c r="DV21" i="1"/>
  <c r="DV49" i="1"/>
  <c r="DO39" i="1"/>
  <c r="DQ39" i="1" s="1"/>
  <c r="DV52" i="1"/>
  <c r="DV29" i="1"/>
  <c r="DV5" i="1"/>
  <c r="DV54" i="1"/>
  <c r="DV45" i="1"/>
  <c r="DV32" i="1"/>
  <c r="Z40" i="1"/>
  <c r="Z8" i="1"/>
  <c r="DI6" i="1"/>
  <c r="DO17" i="1"/>
  <c r="DQ17" i="1" s="1"/>
  <c r="DO16" i="1"/>
  <c r="DQ16" i="1" s="1"/>
  <c r="DV16" i="1"/>
  <c r="DV19" i="1"/>
  <c r="DV20" i="1"/>
  <c r="DV34" i="1"/>
  <c r="DI8" i="1"/>
  <c r="DV8" i="1"/>
  <c r="Z10" i="1"/>
  <c r="DV22" i="1"/>
  <c r="DO9" i="1"/>
  <c r="DQ9" i="1" s="1"/>
  <c r="DV9" i="1"/>
  <c r="DV30" i="1"/>
  <c r="DV28" i="1"/>
  <c r="DV23" i="1"/>
  <c r="DV36" i="1"/>
  <c r="DO18" i="1"/>
  <c r="DV4" i="1"/>
  <c r="DV41" i="1"/>
  <c r="DV43" i="1"/>
  <c r="DV26" i="1"/>
  <c r="DV10" i="1"/>
  <c r="DV15" i="1"/>
  <c r="DV31" i="1"/>
  <c r="DV50" i="1"/>
  <c r="DV11" i="1"/>
  <c r="DV7" i="1"/>
  <c r="DV38" i="1"/>
  <c r="DV14" i="1"/>
  <c r="DV42" i="1"/>
  <c r="DV12" i="1"/>
  <c r="DV35" i="1"/>
  <c r="DV39" i="1"/>
  <c r="DV48" i="1"/>
  <c r="DV51" i="1"/>
  <c r="Z22" i="1"/>
  <c r="K17" i="2"/>
  <c r="DV53" i="1"/>
  <c r="DV46" i="1"/>
  <c r="DV55" i="1"/>
  <c r="DV18" i="1"/>
  <c r="DV25" i="1"/>
  <c r="DV17" i="1"/>
  <c r="DV6" i="1"/>
  <c r="DV37" i="1"/>
  <c r="DV33" i="1"/>
  <c r="DV44" i="1"/>
  <c r="DV13" i="1"/>
  <c r="DV27" i="1"/>
  <c r="DV24" i="1"/>
  <c r="DV40" i="1"/>
  <c r="DO33" i="1"/>
  <c r="DQ33" i="1" s="1"/>
  <c r="Z35" i="1"/>
  <c r="DO37" i="1"/>
  <c r="DQ37" i="1" s="1"/>
  <c r="Z39" i="1"/>
  <c r="Z17" i="1"/>
  <c r="K12" i="2"/>
  <c r="Z31" i="1"/>
  <c r="DO35" i="1"/>
  <c r="DQ35" i="1" s="1"/>
  <c r="DO34" i="1"/>
  <c r="DQ34" i="1" s="1"/>
  <c r="DO32" i="1"/>
  <c r="Z34" i="1"/>
  <c r="DO26" i="1"/>
  <c r="DQ26" i="1" s="1"/>
  <c r="Z27" i="1"/>
  <c r="Z26" i="1"/>
  <c r="DO28" i="1"/>
  <c r="DQ28" i="1" s="1"/>
  <c r="K7" i="2"/>
  <c r="K20" i="2"/>
  <c r="DO36" i="1"/>
  <c r="DQ36" i="1" s="1"/>
  <c r="K19" i="2"/>
  <c r="K18" i="2"/>
  <c r="K8" i="2"/>
  <c r="AY8" i="2" s="1"/>
  <c r="DO27" i="1"/>
  <c r="K11" i="2"/>
  <c r="K10" i="2"/>
  <c r="Z24" i="1"/>
  <c r="Z21" i="1"/>
  <c r="K13" i="2"/>
  <c r="K16" i="2"/>
  <c r="K14" i="2"/>
  <c r="DO13" i="1"/>
  <c r="DQ13" i="1" s="1"/>
  <c r="DI56" i="1"/>
  <c r="DI40" i="1"/>
  <c r="DI23" i="1"/>
  <c r="DM23" i="1" s="1"/>
  <c r="DI45" i="1"/>
  <c r="DO31" i="1"/>
  <c r="DI48" i="1"/>
  <c r="DI35" i="1"/>
  <c r="DM35" i="1" s="1"/>
  <c r="DI52" i="1"/>
  <c r="DI50" i="1"/>
  <c r="DI36" i="1"/>
  <c r="DM36" i="1" s="1"/>
  <c r="DI49" i="1"/>
  <c r="DI34" i="1"/>
  <c r="DM34" i="1" s="1"/>
  <c r="DI30" i="1"/>
  <c r="DM30" i="1" s="1"/>
  <c r="DI46" i="1"/>
  <c r="DI44" i="1"/>
  <c r="DI24" i="1"/>
  <c r="DI26" i="1"/>
  <c r="DM26" i="1" s="1"/>
  <c r="DI42" i="1"/>
  <c r="DM42" i="1" s="1"/>
  <c r="DI28" i="1"/>
  <c r="DM28" i="1" s="1"/>
  <c r="DI38" i="1"/>
  <c r="DI54" i="1"/>
  <c r="DM54" i="1" s="1"/>
  <c r="DI27" i="1"/>
  <c r="DM27" i="1" s="1"/>
  <c r="DI33" i="1"/>
  <c r="DM33" i="1" s="1"/>
  <c r="DO23" i="1"/>
  <c r="DQ23" i="1" s="1"/>
  <c r="DI32" i="1"/>
  <c r="DM32" i="1" s="1"/>
  <c r="DJ65" i="1"/>
  <c r="DI22" i="1"/>
  <c r="DM22" i="1" s="1"/>
  <c r="DI43" i="1"/>
  <c r="DM43" i="1" s="1"/>
  <c r="DI31" i="1"/>
  <c r="DM31" i="1" s="1"/>
  <c r="K15" i="2"/>
  <c r="DI25" i="1"/>
  <c r="DM25" i="1" s="1"/>
  <c r="DI51" i="1"/>
  <c r="DI55" i="1"/>
  <c r="DI47" i="1"/>
  <c r="DI29" i="1"/>
  <c r="DM29" i="1" s="1"/>
  <c r="DI41" i="1"/>
  <c r="DS4" i="1"/>
  <c r="DI21" i="1"/>
  <c r="DM21" i="1" s="1"/>
  <c r="DI39" i="1"/>
  <c r="DM39" i="1" s="1"/>
  <c r="DJ60" i="1"/>
  <c r="DL58" i="1" s="1"/>
  <c r="DO30" i="1"/>
  <c r="DQ30" i="1" s="1"/>
  <c r="Z12" i="1"/>
  <c r="DO10" i="1"/>
  <c r="DQ10" i="1" s="1"/>
  <c r="Z13" i="1"/>
  <c r="BC23" i="2"/>
  <c r="DI20" i="1"/>
  <c r="DI11" i="1"/>
  <c r="DI7" i="1"/>
  <c r="DM7" i="1" s="1"/>
  <c r="DI13" i="1"/>
  <c r="DM13" i="1" s="1"/>
  <c r="DI16" i="1"/>
  <c r="DM16" i="1" s="1"/>
  <c r="DI9" i="1"/>
  <c r="DM9" i="1" s="1"/>
  <c r="DI12" i="1"/>
  <c r="DM12" i="1" s="1"/>
  <c r="DI17" i="1"/>
  <c r="DM17" i="1" s="1"/>
  <c r="DI10" i="1"/>
  <c r="DM10" i="1" s="1"/>
  <c r="DI37" i="1"/>
  <c r="DM37" i="1" s="1"/>
  <c r="DI53" i="1"/>
  <c r="DI15" i="1"/>
  <c r="DM15" i="1" s="1"/>
  <c r="DI19" i="1"/>
  <c r="DM19" i="1" s="1"/>
  <c r="DI14" i="1"/>
  <c r="DS5" i="1"/>
  <c r="DO29" i="1"/>
  <c r="DI18" i="1"/>
  <c r="DM18" i="1" s="1"/>
  <c r="Z14" i="1"/>
  <c r="DO12" i="1"/>
  <c r="DQ12" i="1" s="1"/>
  <c r="DO7" i="1"/>
  <c r="DQ7" i="1" s="1"/>
  <c r="Z9" i="1"/>
  <c r="BC24" i="2" l="1"/>
  <c r="AY1" i="2"/>
  <c r="AY3" i="2"/>
  <c r="AY2" i="2"/>
  <c r="AA23" i="2"/>
  <c r="W24" i="2"/>
  <c r="D24" i="2"/>
  <c r="DM24" i="1"/>
  <c r="DS24" i="1" s="1"/>
  <c r="DM44" i="1"/>
  <c r="DS44" i="1" s="1"/>
  <c r="DM49" i="1"/>
  <c r="DS49" i="1" s="1"/>
  <c r="DM50" i="1"/>
  <c r="DS50" i="1" s="1"/>
  <c r="DM53" i="1"/>
  <c r="DS53" i="1" s="1"/>
  <c r="DM52" i="1"/>
  <c r="DS52" i="1" s="1"/>
  <c r="DM20" i="1"/>
  <c r="DS20" i="1" s="1"/>
  <c r="DM46" i="1"/>
  <c r="DS46" i="1" s="1"/>
  <c r="DM48" i="1"/>
  <c r="DS48" i="1" s="1"/>
  <c r="DM14" i="1"/>
  <c r="DS14" i="1" s="1"/>
  <c r="DM6" i="1"/>
  <c r="DS6" i="1" s="1"/>
  <c r="DM47" i="1"/>
  <c r="DS47" i="1" s="1"/>
  <c r="DM40" i="1"/>
  <c r="DS40" i="1" s="1"/>
  <c r="DM55" i="1"/>
  <c r="DS55" i="1" s="1"/>
  <c r="DM51" i="1"/>
  <c r="DS51" i="1" s="1"/>
  <c r="DM11" i="1"/>
  <c r="DS11" i="1" s="1"/>
  <c r="DM41" i="1"/>
  <c r="DS41" i="1" s="1"/>
  <c r="DM38" i="1"/>
  <c r="DS38" i="1" s="1"/>
  <c r="DM45" i="1"/>
  <c r="DS45" i="1" s="1"/>
  <c r="DM8" i="1"/>
  <c r="DS8" i="1" s="1"/>
  <c r="DS54" i="1"/>
  <c r="DS25" i="1"/>
  <c r="DS42" i="1"/>
  <c r="DS43" i="1"/>
  <c r="AY13" i="2"/>
  <c r="BW13" i="2" s="1"/>
  <c r="AY21" i="2"/>
  <c r="BW21" i="2" s="1"/>
  <c r="AY9" i="2"/>
  <c r="BW9" i="2" s="1"/>
  <c r="AY17" i="2"/>
  <c r="BW17" i="2" s="1"/>
  <c r="AY20" i="2"/>
  <c r="BW20" i="2" s="1"/>
  <c r="AY18" i="2"/>
  <c r="BW18" i="2" s="1"/>
  <c r="AY19" i="2"/>
  <c r="BW19" i="2" s="1"/>
  <c r="AY10" i="2"/>
  <c r="BW10" i="2" s="1"/>
  <c r="AY14" i="2"/>
  <c r="BW14" i="2" s="1"/>
  <c r="AY16" i="2"/>
  <c r="BW16" i="2" s="1"/>
  <c r="AY15" i="2"/>
  <c r="AY11" i="2"/>
  <c r="D22" i="2"/>
  <c r="AY22" i="2"/>
  <c r="BW22" i="2" s="1"/>
  <c r="BC22" i="2"/>
  <c r="BC21" i="2"/>
  <c r="D21" i="2"/>
  <c r="V23" i="2"/>
  <c r="AP23" i="2"/>
  <c r="U23" i="2"/>
  <c r="AC23" i="2"/>
  <c r="AB23" i="2"/>
  <c r="Y23" i="2"/>
  <c r="X23" i="2"/>
  <c r="AD23" i="2"/>
  <c r="Z23" i="2"/>
  <c r="T23" i="2"/>
  <c r="D10" i="2"/>
  <c r="D17" i="2"/>
  <c r="D15" i="2"/>
  <c r="D11" i="2"/>
  <c r="BC20" i="2"/>
  <c r="D12" i="2"/>
  <c r="BC18" i="2"/>
  <c r="BC19" i="2"/>
  <c r="D7" i="2"/>
  <c r="DS39" i="1"/>
  <c r="DS16" i="1"/>
  <c r="DS17" i="1"/>
  <c r="DS9" i="1"/>
  <c r="DS26" i="1"/>
  <c r="BC17" i="2"/>
  <c r="DS37" i="1"/>
  <c r="DS34" i="1"/>
  <c r="DS33" i="1"/>
  <c r="D19" i="2"/>
  <c r="DS35" i="1"/>
  <c r="D18" i="2"/>
  <c r="DS36" i="1"/>
  <c r="D13" i="2"/>
  <c r="D20" i="2"/>
  <c r="D9" i="2"/>
  <c r="DS28" i="1"/>
  <c r="D8" i="2"/>
  <c r="D14" i="2"/>
  <c r="DS13" i="1"/>
  <c r="D16" i="2"/>
  <c r="DS23" i="1"/>
  <c r="DS30" i="1"/>
  <c r="DS7" i="1"/>
  <c r="AY4" i="2"/>
  <c r="AT23" i="2"/>
  <c r="AK23" i="2"/>
  <c r="AL23" i="2"/>
  <c r="AM23" i="2"/>
  <c r="DS10" i="1"/>
  <c r="DS12" i="1"/>
  <c r="BC1" i="2" l="1"/>
  <c r="AA24" i="2"/>
  <c r="AA22" i="2"/>
  <c r="AT24" i="2"/>
  <c r="AD24" i="2"/>
  <c r="Z24" i="2"/>
  <c r="Y24" i="2"/>
  <c r="V24" i="2"/>
  <c r="U24" i="2"/>
  <c r="AC24" i="2"/>
  <c r="AP24" i="2"/>
  <c r="T24" i="2"/>
  <c r="AM24" i="2"/>
  <c r="AK24" i="2"/>
  <c r="AL24" i="2"/>
  <c r="AB24" i="2"/>
  <c r="X24" i="2"/>
  <c r="DN1" i="1"/>
  <c r="DN4" i="1" s="1"/>
  <c r="DN5" i="1" s="1"/>
  <c r="DN6" i="1" s="1"/>
  <c r="DN7" i="1" s="1"/>
  <c r="Z22" i="2"/>
  <c r="V22" i="2"/>
  <c r="AB22" i="2"/>
  <c r="AC22" i="2"/>
  <c r="Y22" i="2"/>
  <c r="T22" i="2"/>
  <c r="AY12" i="2"/>
  <c r="T11" i="2"/>
  <c r="AD21" i="2"/>
  <c r="X22" i="2"/>
  <c r="AD22" i="2"/>
  <c r="U22" i="2"/>
  <c r="AM22" i="2"/>
  <c r="AK22" i="2"/>
  <c r="AT22" i="2"/>
  <c r="AL22" i="2"/>
  <c r="AP22" i="2"/>
  <c r="V12" i="2"/>
  <c r="Z21" i="2"/>
  <c r="Y11" i="2"/>
  <c r="AT21" i="2"/>
  <c r="AL21" i="2"/>
  <c r="AM21" i="2"/>
  <c r="AP21" i="2"/>
  <c r="V21" i="2"/>
  <c r="U21" i="2"/>
  <c r="X21" i="2"/>
  <c r="Y21" i="2"/>
  <c r="T21" i="2"/>
  <c r="V15" i="2"/>
  <c r="Z15" i="2"/>
  <c r="U15" i="2"/>
  <c r="Z11" i="2"/>
  <c r="AD7" i="2"/>
  <c r="T15" i="2"/>
  <c r="AD15" i="2"/>
  <c r="AD11" i="2"/>
  <c r="Y15" i="2"/>
  <c r="Z7" i="2"/>
  <c r="Y18" i="2"/>
  <c r="Z10" i="2"/>
  <c r="Y20" i="2"/>
  <c r="X20" i="2"/>
  <c r="Y17" i="2"/>
  <c r="V11" i="2"/>
  <c r="Y12" i="2"/>
  <c r="T17" i="2"/>
  <c r="Z12" i="2"/>
  <c r="V10" i="2"/>
  <c r="Y7" i="2"/>
  <c r="U17" i="2"/>
  <c r="T10" i="2"/>
  <c r="AD12" i="2"/>
  <c r="V17" i="2"/>
  <c r="U10" i="2"/>
  <c r="T7" i="2"/>
  <c r="Y10" i="2"/>
  <c r="U11" i="2"/>
  <c r="U7" i="2"/>
  <c r="U12" i="2"/>
  <c r="AD17" i="2"/>
  <c r="V7" i="2"/>
  <c r="AD10" i="2"/>
  <c r="T12" i="2"/>
  <c r="Z17" i="2"/>
  <c r="AL17" i="2"/>
  <c r="AT17" i="2"/>
  <c r="AP17" i="2"/>
  <c r="AM17" i="2"/>
  <c r="Z13" i="2"/>
  <c r="Y13" i="2"/>
  <c r="AD19" i="2"/>
  <c r="AM19" i="2"/>
  <c r="AT19" i="2"/>
  <c r="T13" i="2"/>
  <c r="Y19" i="2"/>
  <c r="Z19" i="2"/>
  <c r="T19" i="2"/>
  <c r="AP19" i="2"/>
  <c r="U19" i="2"/>
  <c r="V19" i="2"/>
  <c r="AL19" i="2"/>
  <c r="AT18" i="2"/>
  <c r="AD18" i="2"/>
  <c r="AD13" i="2"/>
  <c r="V18" i="2"/>
  <c r="Z18" i="2"/>
  <c r="U18" i="2"/>
  <c r="AM18" i="2"/>
  <c r="U14" i="2"/>
  <c r="T18" i="2"/>
  <c r="T20" i="2"/>
  <c r="AP18" i="2"/>
  <c r="AL18" i="2"/>
  <c r="V13" i="2"/>
  <c r="U13" i="2"/>
  <c r="T8" i="2"/>
  <c r="V8" i="2"/>
  <c r="T9" i="2"/>
  <c r="AD9" i="2"/>
  <c r="Y8" i="2"/>
  <c r="Z8" i="2"/>
  <c r="AM20" i="2"/>
  <c r="AT20" i="2"/>
  <c r="U8" i="2"/>
  <c r="Y9" i="2"/>
  <c r="AD8" i="2"/>
  <c r="AD20" i="2"/>
  <c r="Z9" i="2"/>
  <c r="Z20" i="2"/>
  <c r="AP20" i="2"/>
  <c r="V9" i="2"/>
  <c r="V14" i="2"/>
  <c r="Y14" i="2"/>
  <c r="AD14" i="2"/>
  <c r="T14" i="2"/>
  <c r="Z14" i="2"/>
  <c r="U9" i="2"/>
  <c r="U20" i="2"/>
  <c r="AL20" i="2"/>
  <c r="V20" i="2"/>
  <c r="V16" i="2"/>
  <c r="Z16" i="2"/>
  <c r="AD16" i="2"/>
  <c r="Y16" i="2"/>
  <c r="U16" i="2"/>
  <c r="T16" i="2"/>
  <c r="BC2" i="2"/>
  <c r="BD2" i="2" s="1"/>
  <c r="AK21" i="2" l="1"/>
  <c r="CD8" i="1"/>
  <c r="CA2" i="2"/>
  <c r="BE2" i="2"/>
  <c r="CE8" i="1" s="1"/>
  <c r="CF8" i="1" s="1"/>
  <c r="DP4" i="1"/>
  <c r="DP5" i="1" s="1"/>
  <c r="DP6" i="1" s="1"/>
  <c r="DP7" i="1" s="1"/>
  <c r="AK20" i="2"/>
  <c r="AK19" i="2"/>
  <c r="AK17" i="2"/>
  <c r="AK18" i="2"/>
  <c r="BD1" i="2"/>
  <c r="DN8" i="1"/>
  <c r="CA1" i="2" l="1"/>
  <c r="BE1" i="2"/>
  <c r="CE7" i="1" s="1"/>
  <c r="CF7" i="1" s="1"/>
  <c r="CC2" i="2"/>
  <c r="CB2" i="2"/>
  <c r="BA1" i="2"/>
  <c r="BC7" i="2" s="1"/>
  <c r="BA2" i="2"/>
  <c r="BC10" i="2" s="1"/>
  <c r="BC15" i="2"/>
  <c r="BC9" i="2"/>
  <c r="BA4" i="2"/>
  <c r="BA3" i="2"/>
  <c r="CD7" i="1"/>
  <c r="DP8" i="1"/>
  <c r="DN9" i="1"/>
  <c r="AP7" i="2" l="1"/>
  <c r="AT7" i="2"/>
  <c r="F42" i="7"/>
  <c r="CB1" i="2"/>
  <c r="CC1" i="2"/>
  <c r="AM7" i="2"/>
  <c r="BC16" i="2"/>
  <c r="BC8" i="2"/>
  <c r="AM15" i="2"/>
  <c r="AT15" i="2"/>
  <c r="AP15" i="2"/>
  <c r="BC12" i="2"/>
  <c r="BC14" i="2"/>
  <c r="BC11" i="2"/>
  <c r="BC13" i="2"/>
  <c r="H43" i="1"/>
  <c r="H45" i="1"/>
  <c r="H46" i="1"/>
  <c r="H39" i="1"/>
  <c r="E35" i="7"/>
  <c r="H41" i="1"/>
  <c r="E37" i="7"/>
  <c r="G67" i="5" s="1"/>
  <c r="H44" i="1"/>
  <c r="DN10" i="1"/>
  <c r="DP9" i="1"/>
  <c r="CA7" i="2" l="1"/>
  <c r="CA8" i="2"/>
  <c r="CA9" i="2"/>
  <c r="CA10" i="2"/>
  <c r="CA11" i="2"/>
  <c r="CA12" i="2"/>
  <c r="CA13" i="2"/>
  <c r="CA14" i="2"/>
  <c r="CA15" i="2"/>
  <c r="CA16" i="2"/>
  <c r="CA17" i="2"/>
  <c r="CA18" i="2"/>
  <c r="CA19" i="2"/>
  <c r="CA20" i="2"/>
  <c r="CA21" i="2"/>
  <c r="CA22" i="2"/>
  <c r="CA23" i="2"/>
  <c r="CA24" i="2"/>
  <c r="E33" i="7"/>
  <c r="B69" i="5" s="1"/>
  <c r="AT16" i="2"/>
  <c r="AP9" i="2"/>
  <c r="AM9" i="2"/>
  <c r="AT9" i="2"/>
  <c r="AL9" i="2"/>
  <c r="AP16" i="2"/>
  <c r="AM16" i="2"/>
  <c r="AP8" i="2"/>
  <c r="AT8" i="2"/>
  <c r="AM8" i="2"/>
  <c r="AT11" i="2"/>
  <c r="AM12" i="2"/>
  <c r="AT12" i="2"/>
  <c r="AP12" i="2"/>
  <c r="AL11" i="2"/>
  <c r="AM11" i="2"/>
  <c r="AM13" i="2"/>
  <c r="AP13" i="2"/>
  <c r="AT13" i="2"/>
  <c r="AP11" i="2"/>
  <c r="AP14" i="2"/>
  <c r="AT14" i="2"/>
  <c r="AM14" i="2"/>
  <c r="AT10" i="2"/>
  <c r="AL10" i="2"/>
  <c r="AM10" i="2"/>
  <c r="AP10" i="2"/>
  <c r="E38" i="7"/>
  <c r="G68" i="5" s="1"/>
  <c r="H47" i="1"/>
  <c r="E39" i="7"/>
  <c r="G69" i="5" s="1"/>
  <c r="H40" i="1"/>
  <c r="E34" i="7"/>
  <c r="F33" i="7" s="1"/>
  <c r="F36" i="7"/>
  <c r="H37" i="1"/>
  <c r="E32" i="7"/>
  <c r="H42" i="1"/>
  <c r="E41" i="7"/>
  <c r="E36" i="7"/>
  <c r="E40" i="7"/>
  <c r="F39" i="7" s="1"/>
  <c r="E68" i="5"/>
  <c r="F34" i="7"/>
  <c r="DP10" i="1"/>
  <c r="DN11" i="1"/>
  <c r="H38" i="1" l="1"/>
  <c r="F32" i="7"/>
  <c r="CC21" i="2"/>
  <c r="CB21" i="2"/>
  <c r="CC13" i="2"/>
  <c r="CB13" i="2"/>
  <c r="CC20" i="2"/>
  <c r="CB20" i="2"/>
  <c r="CB12" i="2"/>
  <c r="CC12" i="2"/>
  <c r="CC19" i="2"/>
  <c r="CB19" i="2"/>
  <c r="CC11" i="2"/>
  <c r="CB11" i="2"/>
  <c r="CC22" i="2"/>
  <c r="CB22" i="2"/>
  <c r="CC18" i="2"/>
  <c r="CB18" i="2"/>
  <c r="CC10" i="2"/>
  <c r="CB10" i="2"/>
  <c r="CB17" i="2"/>
  <c r="CC17" i="2"/>
  <c r="CB9" i="2"/>
  <c r="CC9" i="2"/>
  <c r="CC14" i="2"/>
  <c r="CB14" i="2"/>
  <c r="CC24" i="2"/>
  <c r="CB24" i="2"/>
  <c r="CC16" i="2"/>
  <c r="CB16" i="2"/>
  <c r="CC7" i="2"/>
  <c r="CB7" i="2"/>
  <c r="CB23" i="2"/>
  <c r="CC23" i="2"/>
  <c r="CC15" i="2"/>
  <c r="CB15" i="2"/>
  <c r="CB8" i="2"/>
  <c r="CC8" i="2"/>
  <c r="AK9" i="2"/>
  <c r="H36" i="1"/>
  <c r="CE11" i="1" s="1"/>
  <c r="AV7" i="2"/>
  <c r="AK10" i="2"/>
  <c r="E31" i="7"/>
  <c r="B67" i="5" s="1"/>
  <c r="AK11" i="2"/>
  <c r="F38" i="7"/>
  <c r="F37" i="7"/>
  <c r="O17" i="5"/>
  <c r="O19" i="5" s="1"/>
  <c r="P2" i="9"/>
  <c r="P4" i="9" s="1"/>
  <c r="O2" i="9"/>
  <c r="O4" i="9" s="1"/>
  <c r="E42" i="7"/>
  <c r="I69" i="5" s="1"/>
  <c r="E67" i="5"/>
  <c r="I67" i="5"/>
  <c r="I68" i="5"/>
  <c r="F40" i="7"/>
  <c r="F31" i="7"/>
  <c r="B68" i="5"/>
  <c r="F35" i="7"/>
  <c r="E69" i="5"/>
  <c r="DN12" i="1"/>
  <c r="DP11" i="1"/>
  <c r="CH15" i="2" l="1"/>
  <c r="CH23" i="2"/>
  <c r="CH24" i="2"/>
  <c r="CH16" i="2"/>
  <c r="CH7" i="2"/>
  <c r="CH17" i="2"/>
  <c r="CH8" i="2"/>
  <c r="CH9" i="2"/>
  <c r="CH19" i="2"/>
  <c r="CH20" i="2"/>
  <c r="CH18" i="2"/>
  <c r="CH10" i="2"/>
  <c r="CH11" i="2"/>
  <c r="CH12" i="2"/>
  <c r="CH13" i="2"/>
  <c r="CH21" i="2"/>
  <c r="CH22" i="2"/>
  <c r="CH14" i="2"/>
  <c r="H31" i="7"/>
  <c r="CE16" i="1"/>
  <c r="CE14" i="1"/>
  <c r="CE17" i="1"/>
  <c r="CE12" i="1"/>
  <c r="CE13" i="1"/>
  <c r="D67" i="5"/>
  <c r="CE18" i="1"/>
  <c r="CE22" i="1"/>
  <c r="CE20" i="1"/>
  <c r="CE21" i="1"/>
  <c r="CE15" i="1"/>
  <c r="CE19" i="1"/>
  <c r="AV12" i="2"/>
  <c r="AV13" i="2"/>
  <c r="AV21" i="2"/>
  <c r="AV20" i="2"/>
  <c r="AV11" i="2"/>
  <c r="AV10" i="2"/>
  <c r="AV17" i="2"/>
  <c r="AV9" i="2"/>
  <c r="AV24" i="2"/>
  <c r="AV23" i="2"/>
  <c r="AV15" i="2"/>
  <c r="AV8" i="2"/>
  <c r="AV19" i="2"/>
  <c r="AV18" i="2"/>
  <c r="AV16" i="2"/>
  <c r="AV22" i="2"/>
  <c r="AV14" i="2"/>
  <c r="N17" i="5"/>
  <c r="F41" i="7"/>
  <c r="DP12" i="1"/>
  <c r="DN13" i="1"/>
  <c r="K66" i="5" l="1"/>
  <c r="P23" i="7" s="1"/>
  <c r="CI21" i="2"/>
  <c r="CE21" i="2" s="1"/>
  <c r="CI9" i="2"/>
  <c r="CE9" i="2" s="1"/>
  <c r="CI13" i="2"/>
  <c r="CE13" i="2" s="1"/>
  <c r="CI8" i="2"/>
  <c r="CE8" i="2" s="1"/>
  <c r="CI12" i="2"/>
  <c r="CE12" i="2" s="1"/>
  <c r="CI17" i="2"/>
  <c r="CE17" i="2" s="1"/>
  <c r="CI11" i="2"/>
  <c r="CE11" i="2" s="1"/>
  <c r="CI7" i="2"/>
  <c r="CE7" i="2" s="1"/>
  <c r="CF7" i="2" s="1"/>
  <c r="CD7" i="2" s="1"/>
  <c r="CI10" i="2"/>
  <c r="CE10" i="2" s="1"/>
  <c r="CI16" i="2"/>
  <c r="CE16" i="2" s="1"/>
  <c r="CI18" i="2"/>
  <c r="CE18" i="2" s="1"/>
  <c r="CI24" i="2"/>
  <c r="CE24" i="2" s="1"/>
  <c r="CI14" i="2"/>
  <c r="CE14" i="2" s="1"/>
  <c r="CI20" i="2"/>
  <c r="CE20" i="2" s="1"/>
  <c r="CI23" i="2"/>
  <c r="CE23" i="2" s="1"/>
  <c r="CI22" i="2"/>
  <c r="CE22" i="2" s="1"/>
  <c r="CI19" i="2"/>
  <c r="CE19" i="2" s="1"/>
  <c r="CI15" i="2"/>
  <c r="CE15" i="2" s="1"/>
  <c r="H68" i="5"/>
  <c r="H33" i="7"/>
  <c r="H69" i="5"/>
  <c r="H32" i="7"/>
  <c r="H37" i="7"/>
  <c r="J68" i="5"/>
  <c r="H40" i="7"/>
  <c r="F69" i="5"/>
  <c r="F68" i="5"/>
  <c r="H35" i="7"/>
  <c r="H39" i="7"/>
  <c r="D69" i="5"/>
  <c r="H42" i="7"/>
  <c r="H38" i="7"/>
  <c r="J69" i="5"/>
  <c r="H67" i="5"/>
  <c r="D68" i="5"/>
  <c r="J67" i="5"/>
  <c r="H34" i="7"/>
  <c r="H41" i="7"/>
  <c r="H36" i="7"/>
  <c r="F67" i="5"/>
  <c r="DN14" i="1"/>
  <c r="DP13" i="1"/>
  <c r="CF10" i="2" l="1"/>
  <c r="CD10" i="2" s="1"/>
  <c r="CF8" i="2"/>
  <c r="CD8" i="2" s="1"/>
  <c r="AO8" i="2" s="1"/>
  <c r="CF23" i="2"/>
  <c r="CD23" i="2" s="1"/>
  <c r="AH23" i="2" s="1"/>
  <c r="CF9" i="2"/>
  <c r="CD9" i="2" s="1"/>
  <c r="CF11" i="2"/>
  <c r="CD11" i="2" s="1"/>
  <c r="CF17" i="2"/>
  <c r="CD17" i="2" s="1"/>
  <c r="CF24" i="2"/>
  <c r="CD24" i="2" s="1"/>
  <c r="CF21" i="2"/>
  <c r="CD21" i="2" s="1"/>
  <c r="CF15" i="2"/>
  <c r="CD15" i="2" s="1"/>
  <c r="CF18" i="2"/>
  <c r="CD18" i="2" s="1"/>
  <c r="CF12" i="2"/>
  <c r="CD12" i="2" s="1"/>
  <c r="AH12" i="2" s="1"/>
  <c r="CF14" i="2"/>
  <c r="CD14" i="2" s="1"/>
  <c r="AH14" i="2" s="1"/>
  <c r="CF19" i="2"/>
  <c r="CD19" i="2" s="1"/>
  <c r="CF16" i="2"/>
  <c r="CD16" i="2" s="1"/>
  <c r="CF22" i="2"/>
  <c r="CD22" i="2" s="1"/>
  <c r="CF13" i="2"/>
  <c r="CD13" i="2" s="1"/>
  <c r="CF20" i="2"/>
  <c r="CD20" i="2" s="1"/>
  <c r="AO7" i="2"/>
  <c r="AG7" i="2"/>
  <c r="AJ7" i="2"/>
  <c r="AH7" i="2"/>
  <c r="AI7" i="2"/>
  <c r="DP14" i="1"/>
  <c r="DN15" i="1"/>
  <c r="AI23" i="2" l="1"/>
  <c r="AI12" i="2"/>
  <c r="AH8" i="2"/>
  <c r="AI8" i="2"/>
  <c r="AJ8" i="2"/>
  <c r="AO23" i="2"/>
  <c r="AJ23" i="2"/>
  <c r="AN23" i="2"/>
  <c r="AJ22" i="2"/>
  <c r="AN24" i="2"/>
  <c r="AI16" i="2"/>
  <c r="AJ17" i="2"/>
  <c r="AI19" i="2"/>
  <c r="AJ11" i="2"/>
  <c r="AO14" i="2"/>
  <c r="AH9" i="2"/>
  <c r="AG12" i="2"/>
  <c r="AG23" i="2"/>
  <c r="AO18" i="2"/>
  <c r="AI20" i="2"/>
  <c r="AO15" i="2"/>
  <c r="AO10" i="2"/>
  <c r="AG13" i="2"/>
  <c r="AJ21" i="2"/>
  <c r="AG17" i="2"/>
  <c r="AJ10" i="2"/>
  <c r="AG10" i="2"/>
  <c r="AH10" i="2"/>
  <c r="AG9" i="2"/>
  <c r="AO12" i="2"/>
  <c r="AI10" i="2"/>
  <c r="AI14" i="2"/>
  <c r="AJ14" i="2"/>
  <c r="AJ9" i="2"/>
  <c r="AI9" i="2"/>
  <c r="AO9" i="2"/>
  <c r="AG8" i="2"/>
  <c r="AG16" i="2"/>
  <c r="AH17" i="2"/>
  <c r="AJ16" i="2"/>
  <c r="AO16" i="2"/>
  <c r="AH21" i="2"/>
  <c r="AO17" i="2"/>
  <c r="AG14" i="2"/>
  <c r="AI17" i="2"/>
  <c r="AH16" i="2"/>
  <c r="AI15" i="2"/>
  <c r="AI22" i="2"/>
  <c r="AJ15" i="2"/>
  <c r="AO22" i="2"/>
  <c r="AI24" i="2"/>
  <c r="AH11" i="2"/>
  <c r="AH24" i="2"/>
  <c r="AO11" i="2"/>
  <c r="AO24" i="2"/>
  <c r="AH22" i="2"/>
  <c r="AJ12" i="2"/>
  <c r="AG11" i="2"/>
  <c r="AJ20" i="2"/>
  <c r="AJ24" i="2"/>
  <c r="AG22" i="2"/>
  <c r="AG24" i="2"/>
  <c r="AI11" i="2"/>
  <c r="AN22" i="2"/>
  <c r="AG15" i="2"/>
  <c r="AJ13" i="2"/>
  <c r="AG21" i="2"/>
  <c r="AO21" i="2"/>
  <c r="AJ18" i="2"/>
  <c r="AH18" i="2"/>
  <c r="AG20" i="2"/>
  <c r="AI18" i="2"/>
  <c r="AH13" i="2"/>
  <c r="AG18" i="2"/>
  <c r="AI21" i="2"/>
  <c r="AO20" i="2"/>
  <c r="AO19" i="2"/>
  <c r="AH15" i="2"/>
  <c r="AI13" i="2"/>
  <c r="AO13" i="2"/>
  <c r="AG19" i="2"/>
  <c r="AH20" i="2"/>
  <c r="AJ19" i="2"/>
  <c r="AH19" i="2"/>
  <c r="DP15" i="1"/>
  <c r="DQ15" i="1" s="1"/>
  <c r="DS15" i="1" s="1"/>
  <c r="DN16" i="1"/>
  <c r="DN17" i="1" l="1"/>
  <c r="DP16" i="1"/>
  <c r="DP17" i="1" l="1"/>
  <c r="DN18" i="1"/>
  <c r="DN19" i="1" l="1"/>
  <c r="DP18" i="1"/>
  <c r="DQ18" i="1" l="1"/>
  <c r="DS18" i="1" s="1"/>
  <c r="DP19" i="1"/>
  <c r="DQ19" i="1" s="1"/>
  <c r="DS19" i="1" s="1"/>
  <c r="DN20" i="1"/>
  <c r="DN21" i="1" l="1"/>
  <c r="DP20" i="1"/>
  <c r="DP21" i="1" l="1"/>
  <c r="DQ21" i="1" s="1"/>
  <c r="DS21" i="1" s="1"/>
  <c r="DN22" i="1"/>
  <c r="DN23" i="1" l="1"/>
  <c r="DP22" i="1"/>
  <c r="DP23" i="1" l="1"/>
  <c r="DQ22" i="1"/>
  <c r="DS22" i="1" s="1"/>
  <c r="DN24" i="1"/>
  <c r="DN25" i="1" l="1"/>
  <c r="DP24" i="1"/>
  <c r="DP25" i="1" l="1"/>
  <c r="DN26" i="1"/>
  <c r="DN27" i="1" s="1"/>
  <c r="DP26" i="1" l="1"/>
  <c r="DN28" i="1" l="1"/>
  <c r="DP27" i="1"/>
  <c r="DQ27" i="1" s="1"/>
  <c r="DS27" i="1" s="1"/>
  <c r="DN29" i="1" l="1"/>
  <c r="DP28" i="1"/>
  <c r="DP29" i="1" l="1"/>
  <c r="DQ29" i="1" s="1"/>
  <c r="DS29" i="1" s="1"/>
  <c r="DN30" i="1"/>
  <c r="DN31" i="1" l="1"/>
  <c r="DP30" i="1"/>
  <c r="DN32" i="1" l="1"/>
  <c r="DP31" i="1"/>
  <c r="DQ31" i="1" s="1"/>
  <c r="DS31" i="1" s="1"/>
  <c r="DP32" i="1" l="1"/>
  <c r="DQ32" i="1" s="1"/>
  <c r="DS32" i="1" s="1"/>
  <c r="DU1" i="1" s="1"/>
  <c r="DT4" i="1" s="1"/>
  <c r="DT5" i="1" s="1"/>
  <c r="DN33" i="1"/>
  <c r="EF4" i="1" l="1"/>
  <c r="EF5" i="1"/>
  <c r="DT6" i="1"/>
  <c r="DN34" i="1"/>
  <c r="DP33" i="1"/>
  <c r="FA5" i="1" l="1"/>
  <c r="EZ5" i="1"/>
  <c r="EU5" i="1"/>
  <c r="EP4" i="1"/>
  <c r="FA4" i="1"/>
  <c r="EZ4" i="1"/>
  <c r="EU4" i="1"/>
  <c r="AA6" i="1"/>
  <c r="EP5" i="1"/>
  <c r="AA7" i="1"/>
  <c r="EF6" i="1"/>
  <c r="DT7" i="1"/>
  <c r="DP34" i="1"/>
  <c r="DN35" i="1"/>
  <c r="AB6" i="1" l="1"/>
  <c r="FA6" i="1"/>
  <c r="EU6" i="1"/>
  <c r="EZ6" i="1"/>
  <c r="EV5" i="1"/>
  <c r="EV4" i="1"/>
  <c r="EQ4" i="1"/>
  <c r="EP6" i="1"/>
  <c r="AA8" i="1"/>
  <c r="EF7" i="1"/>
  <c r="DT8" i="1"/>
  <c r="EQ5" i="1"/>
  <c r="AC7" i="1" s="1"/>
  <c r="AB7" i="1"/>
  <c r="DN36" i="1"/>
  <c r="DP35" i="1"/>
  <c r="AC6" i="1" l="1"/>
  <c r="AD6" i="1" s="1"/>
  <c r="AD7" i="1"/>
  <c r="EU7" i="1"/>
  <c r="FA7" i="1"/>
  <c r="EZ7" i="1"/>
  <c r="EV6" i="1"/>
  <c r="EF8" i="1"/>
  <c r="DT9" i="1"/>
  <c r="EQ6" i="1"/>
  <c r="AC8" i="1" s="1"/>
  <c r="AB8" i="1"/>
  <c r="AA9" i="1"/>
  <c r="EP7" i="1"/>
  <c r="DN37" i="1"/>
  <c r="DP36" i="1"/>
  <c r="AD8" i="1" l="1"/>
  <c r="EZ8" i="1"/>
  <c r="FA8" i="1"/>
  <c r="EU8" i="1"/>
  <c r="EV7" i="1"/>
  <c r="EF9" i="1"/>
  <c r="EU9" i="1" s="1"/>
  <c r="DT10" i="1"/>
  <c r="AA10" i="1"/>
  <c r="EP8" i="1"/>
  <c r="AB9" i="1"/>
  <c r="EQ7" i="1"/>
  <c r="DP37" i="1"/>
  <c r="DN38" i="1"/>
  <c r="AC9" i="1" l="1"/>
  <c r="AD9" i="1" s="1"/>
  <c r="FA9" i="1"/>
  <c r="EZ9" i="1"/>
  <c r="EV8" i="1"/>
  <c r="EF10" i="1"/>
  <c r="DT11" i="1"/>
  <c r="EP9" i="1"/>
  <c r="AA11" i="1"/>
  <c r="EQ8" i="1"/>
  <c r="AC10" i="1" s="1"/>
  <c r="AB10" i="1"/>
  <c r="DP38" i="1"/>
  <c r="DN39" i="1"/>
  <c r="AD10" i="1" l="1"/>
  <c r="FA10" i="1"/>
  <c r="EZ10" i="1"/>
  <c r="EV9" i="1"/>
  <c r="EU10" i="1"/>
  <c r="AA12" i="1"/>
  <c r="EP10" i="1"/>
  <c r="EQ9" i="1"/>
  <c r="AC11" i="1" s="1"/>
  <c r="AB11" i="1"/>
  <c r="EF11" i="1"/>
  <c r="DT12" i="1"/>
  <c r="DN40" i="1"/>
  <c r="DP39" i="1"/>
  <c r="EZ11" i="1" l="1"/>
  <c r="FA11" i="1"/>
  <c r="AD11" i="1"/>
  <c r="EU11" i="1"/>
  <c r="AA13" i="1"/>
  <c r="EP11" i="1"/>
  <c r="EF12" i="1"/>
  <c r="DT13" i="1"/>
  <c r="EQ10" i="1"/>
  <c r="AC12" i="1" s="1"/>
  <c r="AB12" i="1"/>
  <c r="EV10" i="1"/>
  <c r="DP40" i="1"/>
  <c r="DN41" i="1"/>
  <c r="EZ12" i="1" l="1"/>
  <c r="FA12" i="1"/>
  <c r="AD12" i="1"/>
  <c r="EF13" i="1"/>
  <c r="DT14" i="1"/>
  <c r="EU12" i="1"/>
  <c r="AA14" i="1"/>
  <c r="EP12" i="1"/>
  <c r="EQ11" i="1"/>
  <c r="AC13" i="1" s="1"/>
  <c r="AB13" i="1"/>
  <c r="EV11" i="1"/>
  <c r="DP41" i="1"/>
  <c r="DN42" i="1"/>
  <c r="FA13" i="1" l="1"/>
  <c r="EZ13" i="1"/>
  <c r="AD13" i="1"/>
  <c r="AB14" i="1"/>
  <c r="EQ12" i="1"/>
  <c r="AC14" i="1" s="1"/>
  <c r="EP13" i="1"/>
  <c r="AA15" i="1"/>
  <c r="EU13" i="1"/>
  <c r="EV12" i="1"/>
  <c r="EF14" i="1"/>
  <c r="DT15" i="1"/>
  <c r="DT16" i="1" s="1"/>
  <c r="DP42" i="1"/>
  <c r="DN43" i="1"/>
  <c r="EZ14" i="1" l="1"/>
  <c r="FA14" i="1"/>
  <c r="AD14" i="1"/>
  <c r="AA16" i="1"/>
  <c r="EP14" i="1"/>
  <c r="EU14" i="1"/>
  <c r="EV13" i="1"/>
  <c r="AB15" i="1"/>
  <c r="EQ13" i="1"/>
  <c r="DT17" i="1"/>
  <c r="DP43" i="1"/>
  <c r="DN44" i="1"/>
  <c r="AC15" i="1" l="1"/>
  <c r="AD15" i="1" s="1"/>
  <c r="EV14" i="1"/>
  <c r="EF17" i="1"/>
  <c r="DT18" i="1"/>
  <c r="EQ14" i="1"/>
  <c r="AC16" i="1" s="1"/>
  <c r="AB16" i="1"/>
  <c r="DN45" i="1"/>
  <c r="DP44" i="1"/>
  <c r="AD16" i="1" l="1"/>
  <c r="DT19" i="1"/>
  <c r="FA17" i="1"/>
  <c r="AA19" i="1"/>
  <c r="EP17" i="1"/>
  <c r="EZ17" i="1"/>
  <c r="EU17" i="1"/>
  <c r="DN46" i="1"/>
  <c r="DP45" i="1"/>
  <c r="EQ17" i="1" l="1"/>
  <c r="AC19" i="1" s="1"/>
  <c r="AB19" i="1"/>
  <c r="DT20" i="1"/>
  <c r="EF19" i="1"/>
  <c r="EV17" i="1"/>
  <c r="DN47" i="1"/>
  <c r="DP46" i="1"/>
  <c r="AD19" i="1" l="1"/>
  <c r="EF20" i="1"/>
  <c r="DT21" i="1"/>
  <c r="EU19" i="1"/>
  <c r="FA19" i="1"/>
  <c r="AA21" i="1"/>
  <c r="EZ19" i="1"/>
  <c r="EP19" i="1"/>
  <c r="DP47" i="1"/>
  <c r="DN48" i="1"/>
  <c r="EV19" i="1" l="1"/>
  <c r="AB21" i="1"/>
  <c r="EQ19" i="1"/>
  <c r="AC21" i="1" s="1"/>
  <c r="DT22" i="1"/>
  <c r="EF21" i="1"/>
  <c r="AA22" i="1"/>
  <c r="EU20" i="1"/>
  <c r="FA20" i="1"/>
  <c r="EZ20" i="1"/>
  <c r="EP20" i="1"/>
  <c r="DN49" i="1"/>
  <c r="DP48" i="1"/>
  <c r="EZ27" i="1"/>
  <c r="FA27" i="1"/>
  <c r="AD21" i="1" l="1"/>
  <c r="DT23" i="1"/>
  <c r="EF22" i="1"/>
  <c r="EP22" i="1" s="1"/>
  <c r="EV20" i="1"/>
  <c r="AB22" i="1"/>
  <c r="EQ20" i="1"/>
  <c r="AC22" i="1" s="1"/>
  <c r="EU21" i="1"/>
  <c r="EP21" i="1"/>
  <c r="EZ21" i="1"/>
  <c r="AA23" i="1"/>
  <c r="FA21" i="1"/>
  <c r="DP49" i="1"/>
  <c r="FA28" i="1"/>
  <c r="EZ28" i="1"/>
  <c r="DN50" i="1"/>
  <c r="AD22" i="1" l="1"/>
  <c r="EQ22" i="1"/>
  <c r="AC24" i="1" s="1"/>
  <c r="AB24" i="1"/>
  <c r="AB23" i="1"/>
  <c r="EQ21" i="1"/>
  <c r="AC23" i="1" s="1"/>
  <c r="EV21" i="1"/>
  <c r="AA24" i="1"/>
  <c r="EZ22" i="1"/>
  <c r="EU22" i="1"/>
  <c r="FA22" i="1"/>
  <c r="DT24" i="1"/>
  <c r="DP50" i="1"/>
  <c r="DN51" i="1"/>
  <c r="AD23" i="1" l="1"/>
  <c r="AD24" i="1"/>
  <c r="EV22" i="1"/>
  <c r="DT25" i="1"/>
  <c r="DN52" i="1"/>
  <c r="DP51" i="1"/>
  <c r="EZ24" i="1" l="1"/>
  <c r="FA24" i="1"/>
  <c r="EF25" i="1"/>
  <c r="DT26" i="1"/>
  <c r="DP52" i="1"/>
  <c r="DN53" i="1"/>
  <c r="EZ25" i="1" l="1"/>
  <c r="EP25" i="1"/>
  <c r="FA25" i="1"/>
  <c r="DT27" i="1"/>
  <c r="AA27" i="1"/>
  <c r="EU25" i="1"/>
  <c r="DP53" i="1"/>
  <c r="DN54" i="1"/>
  <c r="EZ26" i="1" l="1"/>
  <c r="FA26" i="1"/>
  <c r="AB27" i="1"/>
  <c r="EQ25" i="1"/>
  <c r="DT28" i="1"/>
  <c r="EV25" i="1"/>
  <c r="DP54" i="1"/>
  <c r="DN55" i="1"/>
  <c r="AC27" i="1" l="1"/>
  <c r="AD27" i="1" s="1"/>
  <c r="DT29" i="1"/>
  <c r="EF15" i="1"/>
  <c r="DP55" i="1"/>
  <c r="FA15" i="1" l="1"/>
  <c r="EZ15" i="1"/>
  <c r="DT30" i="1"/>
  <c r="AA17" i="1"/>
  <c r="EU15" i="1"/>
  <c r="EP15" i="1"/>
  <c r="A27" i="2"/>
  <c r="AB17" i="1" l="1"/>
  <c r="EQ15" i="1"/>
  <c r="DT31" i="1"/>
  <c r="EV15" i="1"/>
  <c r="B13" i="2"/>
  <c r="B25" i="2"/>
  <c r="B19" i="2"/>
  <c r="B9" i="2"/>
  <c r="B18" i="2"/>
  <c r="B27" i="2"/>
  <c r="B23" i="2"/>
  <c r="B33" i="2"/>
  <c r="B32" i="2"/>
  <c r="B20" i="2"/>
  <c r="B12" i="2"/>
  <c r="B16" i="2"/>
  <c r="B21" i="2"/>
  <c r="B35" i="2"/>
  <c r="B11" i="2"/>
  <c r="B31" i="2"/>
  <c r="B34" i="2"/>
  <c r="B28" i="2"/>
  <c r="B24" i="2"/>
  <c r="B30" i="2"/>
  <c r="B8" i="2"/>
  <c r="B17" i="2"/>
  <c r="B10" i="2"/>
  <c r="B14" i="2"/>
  <c r="B22" i="2"/>
  <c r="B15" i="2"/>
  <c r="B7" i="2"/>
  <c r="B29" i="2"/>
  <c r="B26" i="2"/>
  <c r="CK73" i="12" l="1"/>
  <c r="CW73" i="12" s="1"/>
  <c r="AN73" i="12"/>
  <c r="DK65" i="1"/>
  <c r="DT32" i="1"/>
  <c r="AC17" i="1"/>
  <c r="AD17" i="1" s="1"/>
  <c r="AD9" i="3"/>
  <c r="M9" i="3"/>
  <c r="V9" i="3"/>
  <c r="X9" i="3"/>
  <c r="AA9" i="3"/>
  <c r="L9" i="3"/>
  <c r="Q9" i="3"/>
  <c r="G9" i="3"/>
  <c r="W9" i="3"/>
  <c r="U9" i="3"/>
  <c r="T9" i="3"/>
  <c r="AC9" i="3"/>
  <c r="Z9" i="3"/>
  <c r="H9" i="3"/>
  <c r="I9" i="3"/>
  <c r="O21" i="3"/>
  <c r="N21" i="3"/>
  <c r="AC21" i="3"/>
  <c r="W21" i="3"/>
  <c r="AA21" i="3"/>
  <c r="D21" i="3"/>
  <c r="F21" i="3"/>
  <c r="V21" i="3"/>
  <c r="M21" i="3"/>
  <c r="K21" i="3"/>
  <c r="T21" i="3"/>
  <c r="P21" i="3"/>
  <c r="L21" i="3"/>
  <c r="G21" i="3"/>
  <c r="U21" i="3"/>
  <c r="AD21" i="3"/>
  <c r="Q21" i="3"/>
  <c r="Y21" i="3"/>
  <c r="X21" i="3"/>
  <c r="H21" i="3"/>
  <c r="Z21" i="3"/>
  <c r="I21" i="3"/>
  <c r="G25" i="3"/>
  <c r="T25" i="3"/>
  <c r="S25" i="3"/>
  <c r="U25" i="3"/>
  <c r="K25" i="3"/>
  <c r="H25" i="3"/>
  <c r="N25" i="3"/>
  <c r="P25" i="3"/>
  <c r="X25" i="3"/>
  <c r="V25" i="3"/>
  <c r="AA25" i="3"/>
  <c r="O25" i="3"/>
  <c r="D25" i="3"/>
  <c r="W25" i="3"/>
  <c r="Z25" i="3"/>
  <c r="M25" i="3"/>
  <c r="AD25" i="3"/>
  <c r="I25" i="3"/>
  <c r="Q25" i="3"/>
  <c r="Y25" i="3"/>
  <c r="L25" i="3"/>
  <c r="F25" i="3"/>
  <c r="AC25" i="3"/>
  <c r="G15" i="3"/>
  <c r="W15" i="3"/>
  <c r="L15" i="3"/>
  <c r="AD15" i="3"/>
  <c r="U15" i="3"/>
  <c r="AA15" i="3"/>
  <c r="X15" i="3"/>
  <c r="M15" i="3"/>
  <c r="AC15" i="3"/>
  <c r="I15" i="3"/>
  <c r="T15" i="3"/>
  <c r="Q15" i="3"/>
  <c r="H15" i="3"/>
  <c r="V15" i="3"/>
  <c r="Z15" i="3"/>
  <c r="D24" i="3"/>
  <c r="S24" i="3"/>
  <c r="Z24" i="3"/>
  <c r="AD24" i="3"/>
  <c r="O24" i="3"/>
  <c r="I24" i="3"/>
  <c r="N24" i="3"/>
  <c r="G24" i="3"/>
  <c r="U24" i="3"/>
  <c r="K24" i="3"/>
  <c r="AC24" i="3"/>
  <c r="AA24" i="3"/>
  <c r="L24" i="3"/>
  <c r="T24" i="3"/>
  <c r="Q24" i="3"/>
  <c r="X24" i="3"/>
  <c r="M24" i="3"/>
  <c r="W24" i="3"/>
  <c r="F24" i="3"/>
  <c r="Y24" i="3"/>
  <c r="V24" i="3"/>
  <c r="H24" i="3"/>
  <c r="P24" i="3"/>
  <c r="M19" i="3"/>
  <c r="AC19" i="3"/>
  <c r="AD19" i="3"/>
  <c r="X19" i="3"/>
  <c r="T19" i="3"/>
  <c r="AA19" i="3"/>
  <c r="G19" i="3"/>
  <c r="K19" i="3"/>
  <c r="L19" i="3"/>
  <c r="Z19" i="3"/>
  <c r="H19" i="3"/>
  <c r="W19" i="3"/>
  <c r="Q19" i="3"/>
  <c r="V19" i="3"/>
  <c r="U19" i="3"/>
  <c r="I19" i="3"/>
  <c r="Q16" i="3"/>
  <c r="H16" i="3"/>
  <c r="Z16" i="3"/>
  <c r="T16" i="3"/>
  <c r="W16" i="3"/>
  <c r="AC16" i="3"/>
  <c r="AA16" i="3"/>
  <c r="G16" i="3"/>
  <c r="V16" i="3"/>
  <c r="L16" i="3"/>
  <c r="AD16" i="3"/>
  <c r="I16" i="3"/>
  <c r="U16" i="3"/>
  <c r="X16" i="3"/>
  <c r="M16" i="3"/>
  <c r="V27" i="3"/>
  <c r="W27" i="3"/>
  <c r="Q27" i="3"/>
  <c r="O27" i="3"/>
  <c r="N27" i="3"/>
  <c r="AC27" i="3"/>
  <c r="P27" i="3"/>
  <c r="K27" i="3"/>
  <c r="M27" i="3"/>
  <c r="T27" i="3"/>
  <c r="L27" i="3"/>
  <c r="Y27" i="3"/>
  <c r="G27" i="3"/>
  <c r="F27" i="3"/>
  <c r="D27" i="3"/>
  <c r="H27" i="3"/>
  <c r="AD27" i="3"/>
  <c r="I27" i="3"/>
  <c r="Z27" i="3"/>
  <c r="AA27" i="3"/>
  <c r="X27" i="3"/>
  <c r="U27" i="3"/>
  <c r="S27" i="3"/>
  <c r="K28" i="3"/>
  <c r="U28" i="3"/>
  <c r="H28" i="3"/>
  <c r="T28" i="3"/>
  <c r="L28" i="3"/>
  <c r="W28" i="3"/>
  <c r="V28" i="3"/>
  <c r="O28" i="3"/>
  <c r="AA28" i="3"/>
  <c r="S28" i="3"/>
  <c r="M28" i="3"/>
  <c r="Z28" i="3"/>
  <c r="I28" i="3"/>
  <c r="AD28" i="3"/>
  <c r="G28" i="3"/>
  <c r="P28" i="3"/>
  <c r="Q28" i="3"/>
  <c r="D28" i="3"/>
  <c r="Y28" i="3"/>
  <c r="N28" i="3"/>
  <c r="X28" i="3"/>
  <c r="AC28" i="3"/>
  <c r="F28" i="3"/>
  <c r="AC14" i="3"/>
  <c r="W14" i="3"/>
  <c r="AA14" i="3"/>
  <c r="Z14" i="3"/>
  <c r="L14" i="3"/>
  <c r="T14" i="3"/>
  <c r="V14" i="3"/>
  <c r="M14" i="3"/>
  <c r="AD14" i="3"/>
  <c r="H14" i="3"/>
  <c r="U14" i="3"/>
  <c r="I14" i="3"/>
  <c r="Q14" i="3"/>
  <c r="G14" i="3"/>
  <c r="X7" i="3"/>
  <c r="AD7" i="3"/>
  <c r="L7" i="3"/>
  <c r="U7" i="3"/>
  <c r="Z7" i="3"/>
  <c r="H7" i="3"/>
  <c r="AA7" i="3"/>
  <c r="G7" i="3"/>
  <c r="Q7" i="3"/>
  <c r="T7" i="3"/>
  <c r="I7" i="3"/>
  <c r="AC7" i="3"/>
  <c r="M7" i="3"/>
  <c r="W7" i="3"/>
  <c r="V7" i="3"/>
  <c r="I6" i="3"/>
  <c r="G6" i="3"/>
  <c r="V6" i="3"/>
  <c r="Z6" i="3"/>
  <c r="AD6" i="3"/>
  <c r="Q6" i="3"/>
  <c r="W6" i="3"/>
  <c r="T6" i="3"/>
  <c r="AC6" i="3"/>
  <c r="L6" i="3"/>
  <c r="AA6" i="3"/>
  <c r="M6" i="3"/>
  <c r="U6" i="3"/>
  <c r="H6" i="3"/>
  <c r="Z5" i="3"/>
  <c r="V5" i="3"/>
  <c r="I5" i="3"/>
  <c r="Q5" i="3"/>
  <c r="AD5" i="3"/>
  <c r="AC5" i="3"/>
  <c r="L5" i="3"/>
  <c r="M5" i="3"/>
  <c r="U5" i="3"/>
  <c r="H5" i="3"/>
  <c r="T5" i="3"/>
  <c r="AA5" i="3"/>
  <c r="G5" i="3"/>
  <c r="W5" i="3"/>
  <c r="V22" i="3"/>
  <c r="Y22" i="3"/>
  <c r="P22" i="3"/>
  <c r="AC22" i="3"/>
  <c r="O22" i="3"/>
  <c r="AA22" i="3"/>
  <c r="I22" i="3"/>
  <c r="S22" i="3"/>
  <c r="F22" i="3"/>
  <c r="X22" i="3"/>
  <c r="K22" i="3"/>
  <c r="U22" i="3"/>
  <c r="N22" i="3"/>
  <c r="G22" i="3"/>
  <c r="H22" i="3"/>
  <c r="D22" i="3"/>
  <c r="M22" i="3"/>
  <c r="W22" i="3"/>
  <c r="L22" i="3"/>
  <c r="Z22" i="3"/>
  <c r="T22" i="3"/>
  <c r="Q22" i="3"/>
  <c r="AD22" i="3"/>
  <c r="V10" i="3"/>
  <c r="L10" i="3"/>
  <c r="I10" i="3"/>
  <c r="AD10" i="3"/>
  <c r="Q10" i="3"/>
  <c r="AC10" i="3"/>
  <c r="U10" i="3"/>
  <c r="W10" i="3"/>
  <c r="G10" i="3"/>
  <c r="Z10" i="3"/>
  <c r="T10" i="3"/>
  <c r="H10" i="3"/>
  <c r="AA10" i="3"/>
  <c r="M10" i="3"/>
  <c r="AD17" i="3"/>
  <c r="H17" i="3"/>
  <c r="M17" i="3"/>
  <c r="T17" i="3"/>
  <c r="W17" i="3"/>
  <c r="Z17" i="3"/>
  <c r="G17" i="3"/>
  <c r="V17" i="3"/>
  <c r="U17" i="3"/>
  <c r="I17" i="3"/>
  <c r="L17" i="3"/>
  <c r="Q17" i="3"/>
  <c r="AA17" i="3"/>
  <c r="AC17" i="3"/>
  <c r="X17" i="3"/>
  <c r="O20" i="3"/>
  <c r="F20" i="3"/>
  <c r="H20" i="3"/>
  <c r="K20" i="3"/>
  <c r="D20" i="3"/>
  <c r="Q20" i="3"/>
  <c r="AA20" i="3"/>
  <c r="U20" i="3"/>
  <c r="V20" i="3"/>
  <c r="I20" i="3"/>
  <c r="Y20" i="3"/>
  <c r="P20" i="3"/>
  <c r="L20" i="3"/>
  <c r="G20" i="3"/>
  <c r="N20" i="3"/>
  <c r="M20" i="3"/>
  <c r="AC20" i="3"/>
  <c r="AD20" i="3"/>
  <c r="T20" i="3"/>
  <c r="W20" i="3"/>
  <c r="Z20" i="3"/>
  <c r="X20" i="3"/>
  <c r="AA11" i="3"/>
  <c r="I11" i="3"/>
  <c r="V11" i="3"/>
  <c r="AC11" i="3"/>
  <c r="T11" i="3"/>
  <c r="M11" i="3"/>
  <c r="W11" i="3"/>
  <c r="H11" i="3"/>
  <c r="Q11" i="3"/>
  <c r="G11" i="3"/>
  <c r="AD11" i="3"/>
  <c r="L11" i="3"/>
  <c r="Z11" i="3"/>
  <c r="U11" i="3"/>
  <c r="I12" i="3"/>
  <c r="G12" i="3"/>
  <c r="H12" i="3"/>
  <c r="Q12" i="3"/>
  <c r="Z12" i="3"/>
  <c r="AC12" i="3"/>
  <c r="W12" i="3"/>
  <c r="U12" i="3"/>
  <c r="T12" i="3"/>
  <c r="M12" i="3"/>
  <c r="AD12" i="3"/>
  <c r="AA12" i="3"/>
  <c r="V12" i="3"/>
  <c r="L12" i="3"/>
  <c r="M8" i="3"/>
  <c r="W8" i="3"/>
  <c r="X8" i="3"/>
  <c r="H8" i="3"/>
  <c r="Q8" i="3"/>
  <c r="Z8" i="3"/>
  <c r="AA8" i="3"/>
  <c r="T8" i="3"/>
  <c r="AD8" i="3"/>
  <c r="U8" i="3"/>
  <c r="G8" i="3"/>
  <c r="L8" i="3"/>
  <c r="AC8" i="3"/>
  <c r="I8" i="3"/>
  <c r="V8" i="3"/>
  <c r="AA13" i="3"/>
  <c r="M13" i="3"/>
  <c r="U13" i="3"/>
  <c r="Z13" i="3"/>
  <c r="I13" i="3"/>
  <c r="AC13" i="3"/>
  <c r="W13" i="3"/>
  <c r="T13" i="3"/>
  <c r="G13" i="3"/>
  <c r="V13" i="3"/>
  <c r="L13" i="3"/>
  <c r="Q13" i="3"/>
  <c r="H13" i="3"/>
  <c r="AD13" i="3"/>
  <c r="D26" i="3"/>
  <c r="G26" i="3"/>
  <c r="S26" i="3"/>
  <c r="F26" i="3"/>
  <c r="H26" i="3"/>
  <c r="AA26" i="3"/>
  <c r="O26" i="3"/>
  <c r="AD26" i="3"/>
  <c r="X26" i="3"/>
  <c r="W26" i="3"/>
  <c r="I26" i="3"/>
  <c r="Q26" i="3"/>
  <c r="Z26" i="3"/>
  <c r="T26" i="3"/>
  <c r="Y26" i="3"/>
  <c r="AC26" i="3"/>
  <c r="P26" i="3"/>
  <c r="L26" i="3"/>
  <c r="V26" i="3"/>
  <c r="N26" i="3"/>
  <c r="K26" i="3"/>
  <c r="U26" i="3"/>
  <c r="M26" i="3"/>
  <c r="W18" i="3"/>
  <c r="AC18" i="3"/>
  <c r="V18" i="3"/>
  <c r="K18" i="3"/>
  <c r="H18" i="3"/>
  <c r="AD18" i="3"/>
  <c r="G18" i="3"/>
  <c r="AA18" i="3"/>
  <c r="Q18" i="3"/>
  <c r="M18" i="3"/>
  <c r="Z18" i="3"/>
  <c r="I18" i="3"/>
  <c r="L18" i="3"/>
  <c r="U18" i="3"/>
  <c r="T18" i="3"/>
  <c r="X18" i="3"/>
  <c r="D23" i="3"/>
  <c r="L23" i="3"/>
  <c r="U23" i="3"/>
  <c r="Z23" i="3"/>
  <c r="P23" i="3"/>
  <c r="T23" i="3"/>
  <c r="X23" i="3"/>
  <c r="I23" i="3"/>
  <c r="Q23" i="3"/>
  <c r="AC23" i="3"/>
  <c r="Y23" i="3"/>
  <c r="AA23" i="3"/>
  <c r="K23" i="3"/>
  <c r="AD23" i="3"/>
  <c r="S23" i="3"/>
  <c r="N23" i="3"/>
  <c r="M23" i="3"/>
  <c r="F23" i="3"/>
  <c r="G23" i="3"/>
  <c r="W23" i="3"/>
  <c r="O23" i="3"/>
  <c r="H23" i="3"/>
  <c r="V23" i="3"/>
  <c r="B10" i="3"/>
  <c r="B7" i="3"/>
  <c r="B5" i="3"/>
  <c r="J25" i="3"/>
  <c r="E25" i="3"/>
  <c r="B25" i="3"/>
  <c r="B8" i="3"/>
  <c r="J26" i="3"/>
  <c r="E26" i="3"/>
  <c r="B26" i="3"/>
  <c r="B9" i="3"/>
  <c r="J20" i="3"/>
  <c r="B20" i="3"/>
  <c r="B17" i="3"/>
  <c r="B6" i="3"/>
  <c r="B18" i="3"/>
  <c r="J21" i="3"/>
  <c r="B21" i="3"/>
  <c r="E21" i="3"/>
  <c r="J24" i="3"/>
  <c r="E24" i="3"/>
  <c r="B24" i="3"/>
  <c r="B16" i="3"/>
  <c r="J23" i="3"/>
  <c r="E23" i="3"/>
  <c r="B23" i="3"/>
  <c r="J27" i="3"/>
  <c r="E27" i="3"/>
  <c r="B27" i="3"/>
  <c r="B19" i="3"/>
  <c r="B12" i="3"/>
  <c r="J22" i="3"/>
  <c r="E22" i="3"/>
  <c r="B22" i="3"/>
  <c r="B14" i="3"/>
  <c r="B15" i="3"/>
  <c r="B13" i="3"/>
  <c r="B11" i="3"/>
  <c r="J28" i="3"/>
  <c r="B28" i="3"/>
  <c r="E28" i="3"/>
  <c r="CU73" i="12" l="1"/>
  <c r="CL73" i="12"/>
  <c r="CP73" i="12" s="1"/>
  <c r="CT73" i="12"/>
  <c r="CM73" i="12"/>
  <c r="CQ73" i="12" s="1"/>
  <c r="CY73" i="12" s="1"/>
  <c r="CV73" i="12"/>
  <c r="CN73" i="12"/>
  <c r="CR73" i="12" s="1"/>
  <c r="CO73" i="12"/>
  <c r="DA73" i="12" s="1"/>
  <c r="DE73" i="12" s="1"/>
  <c r="C26" i="3"/>
  <c r="C5" i="3"/>
  <c r="C28" i="3"/>
  <c r="C18" i="3"/>
  <c r="C12" i="3"/>
  <c r="C16" i="3"/>
  <c r="C6" i="3"/>
  <c r="C7" i="3"/>
  <c r="C19" i="3"/>
  <c r="C24" i="3"/>
  <c r="C8" i="3"/>
  <c r="C10" i="3"/>
  <c r="C17" i="3"/>
  <c r="C25" i="3"/>
  <c r="C27" i="3"/>
  <c r="C15" i="3"/>
  <c r="C20" i="3"/>
  <c r="C13" i="3"/>
  <c r="C14" i="3"/>
  <c r="C11" i="3"/>
  <c r="C22" i="3"/>
  <c r="C23" i="3"/>
  <c r="C21" i="3"/>
  <c r="C9" i="3"/>
  <c r="DK64" i="1"/>
  <c r="DL65" i="1" s="1"/>
  <c r="DL66" i="1" s="1"/>
  <c r="DT33" i="1"/>
  <c r="EF32" i="1"/>
  <c r="R25" i="3"/>
  <c r="AB25" i="3" s="1"/>
  <c r="R27" i="3"/>
  <c r="AB27" i="3" s="1"/>
  <c r="AF26" i="3"/>
  <c r="A25" i="3"/>
  <c r="R23" i="3"/>
  <c r="AB23" i="3" s="1"/>
  <c r="AF22" i="3"/>
  <c r="AA29" i="3"/>
  <c r="AF11" i="3"/>
  <c r="AF20" i="3"/>
  <c r="T29" i="3"/>
  <c r="Z29" i="3"/>
  <c r="BJ2" i="13" s="1"/>
  <c r="AF17" i="3"/>
  <c r="A26" i="3"/>
  <c r="AF15" i="3"/>
  <c r="A27" i="3"/>
  <c r="G29" i="3"/>
  <c r="AQ2" i="13" s="1"/>
  <c r="AF19" i="3"/>
  <c r="A28" i="3"/>
  <c r="AF13" i="3"/>
  <c r="AF23" i="3"/>
  <c r="M29" i="3"/>
  <c r="AF7" i="3"/>
  <c r="A6" i="3"/>
  <c r="AF18" i="3"/>
  <c r="AF9" i="3"/>
  <c r="AF24" i="3"/>
  <c r="A23" i="3"/>
  <c r="V29" i="3"/>
  <c r="BF2" i="13" s="1"/>
  <c r="I29" i="3"/>
  <c r="W29" i="3"/>
  <c r="R26" i="3"/>
  <c r="AB26" i="3" s="1"/>
  <c r="R22" i="3"/>
  <c r="AB22" i="3" s="1"/>
  <c r="R21" i="3"/>
  <c r="AN21" i="13" s="1"/>
  <c r="H29" i="3"/>
  <c r="R28" i="3"/>
  <c r="AB28" i="3" s="1"/>
  <c r="AF12" i="3"/>
  <c r="R24" i="3"/>
  <c r="AB24" i="3" s="1"/>
  <c r="AF6" i="3"/>
  <c r="AF25" i="3"/>
  <c r="A24" i="3"/>
  <c r="AF21" i="3"/>
  <c r="AF10" i="3"/>
  <c r="AF8" i="3"/>
  <c r="AF16" i="3"/>
  <c r="U29" i="3"/>
  <c r="Q29" i="3"/>
  <c r="L29" i="3"/>
  <c r="AF14" i="3"/>
  <c r="AV2" i="13" l="1"/>
  <c r="AV3" i="13" s="1"/>
  <c r="BD16" i="5"/>
  <c r="EP32" i="1"/>
  <c r="EU32" i="1"/>
  <c r="EV32" i="1" s="1"/>
  <c r="H10" i="4"/>
  <c r="C10" i="4"/>
  <c r="EF26" i="1"/>
  <c r="EF16" i="1"/>
  <c r="EF24" i="1"/>
  <c r="EU24" i="1" s="1"/>
  <c r="EV24" i="1" s="1"/>
  <c r="EF29" i="1"/>
  <c r="EF30" i="1"/>
  <c r="EU30" i="1" s="1"/>
  <c r="EV30" i="1" s="1"/>
  <c r="DC73" i="12"/>
  <c r="EF31" i="1"/>
  <c r="EP31" i="1" s="1"/>
  <c r="EF18" i="1"/>
  <c r="CX73" i="12"/>
  <c r="DB73" i="12" s="1"/>
  <c r="CZ73" i="12"/>
  <c r="DD73" i="12" s="1"/>
  <c r="AZ73" i="12"/>
  <c r="AY73" i="12"/>
  <c r="AX73" i="12"/>
  <c r="AW73" i="12"/>
  <c r="AO73" i="12"/>
  <c r="AS73" i="12" s="1"/>
  <c r="AR73" i="12"/>
  <c r="AV73" i="12" s="1"/>
  <c r="AQ73" i="12"/>
  <c r="AU73" i="12" s="1"/>
  <c r="AP73" i="12"/>
  <c r="AT73" i="12" s="1"/>
  <c r="AN27" i="13"/>
  <c r="AN28" i="13"/>
  <c r="AN23" i="13"/>
  <c r="AN25" i="13"/>
  <c r="AN24" i="13"/>
  <c r="AN22" i="13"/>
  <c r="AN26" i="13"/>
  <c r="AA34" i="1"/>
  <c r="BE2" i="13"/>
  <c r="BE3" i="13" s="1"/>
  <c r="I31" i="8"/>
  <c r="BD2" i="13"/>
  <c r="BD3" i="13" s="1"/>
  <c r="I30" i="8"/>
  <c r="EF33" i="1"/>
  <c r="DT34" i="1"/>
  <c r="AR2" i="13"/>
  <c r="BF3" i="13"/>
  <c r="BG2" i="13"/>
  <c r="BG3" i="13" s="1"/>
  <c r="AQ3" i="13"/>
  <c r="AS2" i="13"/>
  <c r="AW2" i="13"/>
  <c r="BJ3" i="13"/>
  <c r="BK2" i="13"/>
  <c r="BA2" i="13"/>
  <c r="A7" i="3"/>
  <c r="U31" i="4"/>
  <c r="R31" i="4" s="1"/>
  <c r="R40" i="4" s="1"/>
  <c r="I46" i="8" s="1"/>
  <c r="H49" i="4"/>
  <c r="AR30" i="5"/>
  <c r="AS30" i="5" s="1"/>
  <c r="AR31" i="5"/>
  <c r="AS31" i="5" s="1"/>
  <c r="H50" i="4"/>
  <c r="EQ32" i="1" l="1"/>
  <c r="AB34" i="1"/>
  <c r="EP33" i="1"/>
  <c r="AB35" i="1" s="1"/>
  <c r="EU33" i="1"/>
  <c r="EV33" i="1" s="1"/>
  <c r="EP18" i="1"/>
  <c r="AB20" i="1" s="1"/>
  <c r="EU18" i="1"/>
  <c r="EV18" i="1" s="1"/>
  <c r="AA28" i="1"/>
  <c r="EU26" i="1"/>
  <c r="EV26" i="1" s="1"/>
  <c r="EU27" i="1"/>
  <c r="EV27" i="1" s="1"/>
  <c r="EP16" i="1"/>
  <c r="EU16" i="1"/>
  <c r="EU31" i="1"/>
  <c r="EV31" i="1" s="1"/>
  <c r="EP29" i="1"/>
  <c r="AB31" i="1" s="1"/>
  <c r="EU29" i="1"/>
  <c r="EV29" i="1" s="1"/>
  <c r="EP26" i="1"/>
  <c r="AB28" i="1" s="1"/>
  <c r="D32" i="4"/>
  <c r="F32" i="4" s="1"/>
  <c r="D33" i="4"/>
  <c r="F33" i="4" s="1"/>
  <c r="D29" i="4"/>
  <c r="F29" i="4" s="1"/>
  <c r="D34" i="4"/>
  <c r="F34" i="4" s="1"/>
  <c r="D30" i="4"/>
  <c r="F30" i="4" s="1"/>
  <c r="D31" i="4"/>
  <c r="F31" i="4" s="1"/>
  <c r="AA18" i="1"/>
  <c r="EZ16" i="1"/>
  <c r="FA16" i="1"/>
  <c r="EP24" i="1"/>
  <c r="AA26" i="1"/>
  <c r="AA31" i="1"/>
  <c r="EP30" i="1"/>
  <c r="AA32" i="1"/>
  <c r="EP69" i="1"/>
  <c r="AA59" i="1" s="1"/>
  <c r="AA33" i="1"/>
  <c r="FA18" i="1"/>
  <c r="EZ18" i="1"/>
  <c r="AA20" i="1"/>
  <c r="BB73" i="12"/>
  <c r="BF73" i="12" s="1"/>
  <c r="DI73" i="12" s="1"/>
  <c r="H73" i="12" s="1"/>
  <c r="BC73" i="12"/>
  <c r="BG73" i="12" s="1"/>
  <c r="BD73" i="12"/>
  <c r="BH73" i="12" s="1"/>
  <c r="BA73" i="12"/>
  <c r="BE73" i="12" s="1"/>
  <c r="EQ31" i="1"/>
  <c r="AC33" i="1" s="1"/>
  <c r="AB33" i="1"/>
  <c r="AA35" i="1"/>
  <c r="S21" i="3"/>
  <c r="AB21" i="3" s="1"/>
  <c r="DT35" i="1"/>
  <c r="AR48" i="5"/>
  <c r="S31" i="4"/>
  <c r="S40" i="4" s="1"/>
  <c r="J33" i="1" s="1"/>
  <c r="A8" i="3"/>
  <c r="EF28" i="1" l="1"/>
  <c r="EU28" i="1" s="1"/>
  <c r="EV28" i="1" s="1"/>
  <c r="EF27" i="1"/>
  <c r="EQ33" i="1"/>
  <c r="AC35" i="1" s="1"/>
  <c r="AD35" i="1" s="1"/>
  <c r="AB18" i="1"/>
  <c r="AC34" i="1"/>
  <c r="AD34" i="1" s="1"/>
  <c r="EQ18" i="1"/>
  <c r="AC20" i="1" s="1"/>
  <c r="AD20" i="1" s="1"/>
  <c r="EV16" i="1"/>
  <c r="EQ16" i="1"/>
  <c r="AC18" i="1" s="1"/>
  <c r="EQ29" i="1"/>
  <c r="AC31" i="1" s="1"/>
  <c r="AD31" i="1" s="1"/>
  <c r="EQ26" i="1"/>
  <c r="AC28" i="1" s="1"/>
  <c r="AD28" i="1" s="1"/>
  <c r="E31" i="4"/>
  <c r="C36" i="5"/>
  <c r="G31" i="4"/>
  <c r="H31" i="4"/>
  <c r="H30" i="4"/>
  <c r="E30" i="4"/>
  <c r="C35" i="5"/>
  <c r="G30" i="4"/>
  <c r="H34" i="4"/>
  <c r="C39" i="5"/>
  <c r="E34" i="4"/>
  <c r="G34" i="4"/>
  <c r="E29" i="4"/>
  <c r="G29" i="4"/>
  <c r="H29" i="4"/>
  <c r="C34" i="5"/>
  <c r="E33" i="4"/>
  <c r="H33" i="4"/>
  <c r="C38" i="5"/>
  <c r="G33" i="4"/>
  <c r="C37" i="5"/>
  <c r="E32" i="4"/>
  <c r="H32" i="4"/>
  <c r="G32" i="4"/>
  <c r="AB26" i="1"/>
  <c r="EQ24" i="1"/>
  <c r="AC26" i="1" s="1"/>
  <c r="EQ30" i="1"/>
  <c r="AC32" i="1" s="1"/>
  <c r="AB32" i="1"/>
  <c r="AB59" i="1"/>
  <c r="EQ69" i="1"/>
  <c r="AC59" i="1" s="1"/>
  <c r="AC68" i="1" s="1"/>
  <c r="AD33" i="1"/>
  <c r="EF34" i="1"/>
  <c r="EP34" i="1" s="1"/>
  <c r="EF23" i="1"/>
  <c r="EU23" i="1" s="1"/>
  <c r="EV23" i="1" s="1"/>
  <c r="EF35" i="1"/>
  <c r="EU35" i="1" s="1"/>
  <c r="EV35" i="1" s="1"/>
  <c r="DT36" i="1"/>
  <c r="AS48" i="5"/>
  <c r="AT48" i="5" s="1"/>
  <c r="S15" i="4"/>
  <c r="A9" i="3"/>
  <c r="AA30" i="1" l="1"/>
  <c r="EP28" i="1"/>
  <c r="EQ28" i="1" s="1"/>
  <c r="AC30" i="1" s="1"/>
  <c r="EQ34" i="1"/>
  <c r="AC36" i="1" s="1"/>
  <c r="AB36" i="1"/>
  <c r="EP27" i="1"/>
  <c r="AA29" i="1"/>
  <c r="AD18" i="1"/>
  <c r="AA36" i="1"/>
  <c r="EU34" i="1"/>
  <c r="I35" i="8"/>
  <c r="AR35" i="5"/>
  <c r="AS35" i="5" s="1"/>
  <c r="D52" i="6"/>
  <c r="D35" i="8"/>
  <c r="AR34" i="5"/>
  <c r="AS34" i="5" s="1"/>
  <c r="I34" i="8"/>
  <c r="D50" i="6"/>
  <c r="D33" i="8"/>
  <c r="D53" i="6"/>
  <c r="D36" i="8"/>
  <c r="D54" i="6"/>
  <c r="D37" i="8"/>
  <c r="D51" i="6"/>
  <c r="D34" i="8"/>
  <c r="D32" i="8"/>
  <c r="D49" i="6"/>
  <c r="I32" i="8"/>
  <c r="AR32" i="5"/>
  <c r="AS32" i="5" s="1"/>
  <c r="AR33" i="5"/>
  <c r="AS33" i="5" s="1"/>
  <c r="I33" i="8"/>
  <c r="AR36" i="5"/>
  <c r="AS36" i="5" s="1"/>
  <c r="I36" i="8"/>
  <c r="AR37" i="5"/>
  <c r="AS37" i="5" s="1"/>
  <c r="I37" i="8"/>
  <c r="AD26" i="1"/>
  <c r="AD32" i="1"/>
  <c r="ER69" i="1"/>
  <c r="AD59" i="1" s="1"/>
  <c r="EZ23" i="1"/>
  <c r="FA23" i="1"/>
  <c r="EP23" i="1"/>
  <c r="EP72" i="1" s="1"/>
  <c r="AA25" i="1"/>
  <c r="I73" i="12"/>
  <c r="N7" i="2"/>
  <c r="AA37" i="1"/>
  <c r="EF36" i="1"/>
  <c r="EU36" i="1" s="1"/>
  <c r="EV36" i="1" s="1"/>
  <c r="DT37" i="1"/>
  <c r="A10" i="3"/>
  <c r="AD36" i="1" l="1"/>
  <c r="AB30" i="1"/>
  <c r="EQ27" i="1"/>
  <c r="AC29" i="1" s="1"/>
  <c r="AB29" i="1"/>
  <c r="EP71" i="1"/>
  <c r="EP68" i="1"/>
  <c r="AU43" i="1" s="1"/>
  <c r="EV34" i="1"/>
  <c r="AD30" i="1"/>
  <c r="EP70" i="1"/>
  <c r="AB25" i="1"/>
  <c r="EQ23" i="1"/>
  <c r="EQ72" i="1" s="1"/>
  <c r="ER72" i="1" s="1"/>
  <c r="AL8" i="2"/>
  <c r="AK8" i="2" s="1"/>
  <c r="X6" i="3" s="1"/>
  <c r="AZ7" i="2"/>
  <c r="BA7" i="2" s="1"/>
  <c r="BG7" i="2"/>
  <c r="AB7" i="2" s="1"/>
  <c r="P5" i="3" s="1"/>
  <c r="BF7" i="2"/>
  <c r="AA7" i="2" s="1"/>
  <c r="N5" i="3" s="1"/>
  <c r="BH7" i="2"/>
  <c r="AC7" i="2" s="1"/>
  <c r="O5" i="3" s="1"/>
  <c r="BW15" i="2"/>
  <c r="AA38" i="1"/>
  <c r="EF37" i="1"/>
  <c r="EU37" i="1" s="1"/>
  <c r="EV37" i="1" s="1"/>
  <c r="DT38" i="1"/>
  <c r="A11" i="3"/>
  <c r="AB61" i="1" l="1"/>
  <c r="AB70" i="1" s="1"/>
  <c r="AA61" i="1"/>
  <c r="AB4" i="1"/>
  <c r="N8" i="2"/>
  <c r="BH8" i="2" s="1"/>
  <c r="AC8" i="2" s="1"/>
  <c r="O6" i="3" s="1"/>
  <c r="DK60" i="1"/>
  <c r="AD29" i="1"/>
  <c r="K72" i="1"/>
  <c r="AZ43" i="1"/>
  <c r="EP75" i="1"/>
  <c r="EQ70" i="1"/>
  <c r="AC60" i="1" s="1"/>
  <c r="EQ71" i="1"/>
  <c r="O7" i="2"/>
  <c r="BC43" i="1"/>
  <c r="AA58" i="1"/>
  <c r="AB58" i="1"/>
  <c r="AB60" i="1"/>
  <c r="AA60" i="1"/>
  <c r="EP77" i="1"/>
  <c r="EP79" i="1" s="1"/>
  <c r="EQ68" i="1"/>
  <c r="AC25" i="1"/>
  <c r="AC4" i="1" s="1"/>
  <c r="AA39" i="1"/>
  <c r="N21" i="2"/>
  <c r="AZ21" i="2" s="1"/>
  <c r="BA21" i="2" s="1"/>
  <c r="DT39" i="1"/>
  <c r="AW3" i="13"/>
  <c r="A12" i="3"/>
  <c r="AW7" i="2" l="1"/>
  <c r="W7" i="2" s="1"/>
  <c r="J5" i="3" s="1"/>
  <c r="S7" i="2"/>
  <c r="F5" i="3" s="1"/>
  <c r="AZ8" i="2"/>
  <c r="BA8" i="2" s="1"/>
  <c r="BG8" i="2"/>
  <c r="AB8" i="2" s="1"/>
  <c r="P6" i="3" s="1"/>
  <c r="BF8" i="2"/>
  <c r="BW8" i="2" s="1"/>
  <c r="AA8" i="2" s="1"/>
  <c r="N6" i="3" s="1"/>
  <c r="N9" i="2"/>
  <c r="AZ9" i="2" s="1"/>
  <c r="BA9" i="2" s="1"/>
  <c r="DK59" i="1"/>
  <c r="DL60" i="1" s="1"/>
  <c r="DL61" i="1" s="1"/>
  <c r="EF38" i="1" s="1"/>
  <c r="AA40" i="1" s="1"/>
  <c r="EQ75" i="1"/>
  <c r="ER70" i="1"/>
  <c r="AD60" i="1" s="1"/>
  <c r="ER71" i="1"/>
  <c r="AC61" i="1"/>
  <c r="AC70" i="1" s="1"/>
  <c r="O8" i="2"/>
  <c r="S8" i="2" s="1"/>
  <c r="EU38" i="1"/>
  <c r="S4" i="2"/>
  <c r="Q7" i="2"/>
  <c r="E5" i="3" s="1"/>
  <c r="D5" i="3"/>
  <c r="AC58" i="1"/>
  <c r="AV43" i="1"/>
  <c r="BA43" i="1" s="1"/>
  <c r="AB68" i="1"/>
  <c r="AB69" i="1"/>
  <c r="EQ77" i="1"/>
  <c r="ER77" i="1" s="1"/>
  <c r="ER68" i="1"/>
  <c r="AC69" i="1"/>
  <c r="AC71" i="1" s="1"/>
  <c r="AD25" i="1"/>
  <c r="AD4" i="1" s="1"/>
  <c r="BF21" i="2"/>
  <c r="BG21" i="2"/>
  <c r="AB21" i="2" s="1"/>
  <c r="P19" i="3" s="1"/>
  <c r="BH21" i="2"/>
  <c r="AC21" i="2" s="1"/>
  <c r="O19" i="3" s="1"/>
  <c r="EF39" i="1"/>
  <c r="EU39" i="1" s="1"/>
  <c r="DT40" i="1"/>
  <c r="N10" i="2" s="1"/>
  <c r="A13" i="3"/>
  <c r="AS3" i="13"/>
  <c r="Q8" i="2" l="1"/>
  <c r="AF8" i="2" s="1"/>
  <c r="S6" i="3" s="1"/>
  <c r="AW8" i="2"/>
  <c r="W8" i="2" s="1"/>
  <c r="J6" i="3" s="1"/>
  <c r="BF9" i="2"/>
  <c r="AA9" i="2" s="1"/>
  <c r="N7" i="3" s="1"/>
  <c r="BH9" i="2"/>
  <c r="AC9" i="2" s="1"/>
  <c r="O7" i="3" s="1"/>
  <c r="BG9" i="2"/>
  <c r="AB9" i="2" s="1"/>
  <c r="P7" i="3" s="1"/>
  <c r="EQ79" i="1"/>
  <c r="ER79" i="1" s="1"/>
  <c r="AD61" i="1"/>
  <c r="ER75" i="1"/>
  <c r="EV39" i="1"/>
  <c r="EU67" i="1"/>
  <c r="EU70" i="1" s="1"/>
  <c r="EU78" i="1" s="1"/>
  <c r="D6" i="3"/>
  <c r="F6" i="3"/>
  <c r="EV38" i="1"/>
  <c r="EV67" i="1" s="1"/>
  <c r="EV70" i="1" s="1"/>
  <c r="AF7" i="2"/>
  <c r="S5" i="3" s="1"/>
  <c r="O9" i="2"/>
  <c r="AA21" i="2"/>
  <c r="N19" i="3" s="1"/>
  <c r="AB71" i="1"/>
  <c r="AD58" i="1"/>
  <c r="AW43" i="1"/>
  <c r="AA68" i="1"/>
  <c r="AA71" i="1" s="1"/>
  <c r="A20" i="15"/>
  <c r="K4" i="15"/>
  <c r="L22" i="15"/>
  <c r="K36" i="15"/>
  <c r="E75" i="12"/>
  <c r="F75" i="12" s="1"/>
  <c r="BF10" i="2"/>
  <c r="AA10" i="2" s="1"/>
  <c r="N8" i="3" s="1"/>
  <c r="AZ10" i="2"/>
  <c r="BA10" i="2" s="1"/>
  <c r="BH10" i="2"/>
  <c r="AC10" i="2" s="1"/>
  <c r="O8" i="3" s="1"/>
  <c r="BG10" i="2"/>
  <c r="AB10" i="2" s="1"/>
  <c r="P8" i="3" s="1"/>
  <c r="AA41" i="1"/>
  <c r="EF40" i="1"/>
  <c r="DT41" i="1"/>
  <c r="N11" i="2" s="1"/>
  <c r="AR3" i="13"/>
  <c r="A14" i="3"/>
  <c r="AW9" i="2" l="1"/>
  <c r="W9" i="2" s="1"/>
  <c r="J7" i="3" s="1"/>
  <c r="S9" i="2"/>
  <c r="E6" i="3"/>
  <c r="K70" i="1"/>
  <c r="BB43" i="1"/>
  <c r="BD43" i="1" s="1"/>
  <c r="EV78" i="1"/>
  <c r="EW78" i="1" s="1"/>
  <c r="EW70" i="1"/>
  <c r="Q9" i="2"/>
  <c r="E7" i="3" s="1"/>
  <c r="D7" i="3"/>
  <c r="O10" i="2"/>
  <c r="F7" i="3"/>
  <c r="CK75" i="12"/>
  <c r="AN75" i="12"/>
  <c r="L26" i="15"/>
  <c r="K24" i="15"/>
  <c r="L24" i="15" s="1"/>
  <c r="K29" i="15"/>
  <c r="L29" i="15" s="1"/>
  <c r="L25" i="15"/>
  <c r="M20" i="15"/>
  <c r="D20" i="15" s="1"/>
  <c r="F20" i="15"/>
  <c r="L20" i="15"/>
  <c r="C20" i="15" s="1"/>
  <c r="K20" i="15"/>
  <c r="B20" i="15" s="1"/>
  <c r="E20" i="15"/>
  <c r="AZ11" i="2"/>
  <c r="BA11" i="2" s="1"/>
  <c r="BF11" i="2"/>
  <c r="BW11" i="2" s="1"/>
  <c r="AA11" i="2" s="1"/>
  <c r="N9" i="3" s="1"/>
  <c r="BG11" i="2"/>
  <c r="AB11" i="2" s="1"/>
  <c r="P9" i="3" s="1"/>
  <c r="BH11" i="2"/>
  <c r="AC11" i="2" s="1"/>
  <c r="O9" i="3" s="1"/>
  <c r="AA42" i="1"/>
  <c r="DT42" i="1"/>
  <c r="N12" i="2" s="1"/>
  <c r="EF41" i="1"/>
  <c r="O11" i="2" s="1"/>
  <c r="BK3" i="13"/>
  <c r="A15" i="3"/>
  <c r="AW10" i="2" l="1"/>
  <c r="W10" i="2" s="1"/>
  <c r="J8" i="3" s="1"/>
  <c r="S10" i="2"/>
  <c r="F8" i="3" s="1"/>
  <c r="D9" i="3"/>
  <c r="S11" i="2"/>
  <c r="AW11" i="2"/>
  <c r="W11" i="2" s="1"/>
  <c r="J9" i="3" s="1"/>
  <c r="Q11" i="2"/>
  <c r="E9" i="3" s="1"/>
  <c r="D8" i="3"/>
  <c r="Q10" i="2"/>
  <c r="E8" i="3" s="1"/>
  <c r="F9" i="3"/>
  <c r="AF9" i="2"/>
  <c r="S7" i="3" s="1"/>
  <c r="Q26" i="2"/>
  <c r="AF26" i="2" s="1"/>
  <c r="AD71" i="1"/>
  <c r="CV75" i="12"/>
  <c r="CN75" i="12"/>
  <c r="CM75" i="12"/>
  <c r="CQ75" i="12" s="1"/>
  <c r="CY75" i="12" s="1"/>
  <c r="CL75" i="12"/>
  <c r="CP75" i="12" s="1"/>
  <c r="CX75" i="12" s="1"/>
  <c r="CW75" i="12"/>
  <c r="CT75" i="12"/>
  <c r="CO75" i="12"/>
  <c r="CU75" i="12"/>
  <c r="AW75" i="12"/>
  <c r="AZ75" i="12"/>
  <c r="AO75" i="12"/>
  <c r="AX75" i="12"/>
  <c r="AP75" i="12"/>
  <c r="AQ75" i="12"/>
  <c r="AR75" i="12"/>
  <c r="AV75" i="12" s="1"/>
  <c r="AY75" i="12"/>
  <c r="G20" i="15"/>
  <c r="H20" i="15"/>
  <c r="L32" i="15" s="1"/>
  <c r="K75" i="15"/>
  <c r="E74" i="12"/>
  <c r="AZ12" i="2"/>
  <c r="BA12" i="2" s="1"/>
  <c r="BG12" i="2"/>
  <c r="AB12" i="2" s="1"/>
  <c r="P10" i="3" s="1"/>
  <c r="BF12" i="2"/>
  <c r="BW12" i="2" s="1"/>
  <c r="AA12" i="2" s="1"/>
  <c r="N10" i="3" s="1"/>
  <c r="BH12" i="2"/>
  <c r="AC12" i="2" s="1"/>
  <c r="O10" i="3" s="1"/>
  <c r="AA43" i="1"/>
  <c r="DT43" i="1"/>
  <c r="N20" i="2" s="1"/>
  <c r="AZ20" i="2" s="1"/>
  <c r="BA20" i="2" s="1"/>
  <c r="EF42" i="1"/>
  <c r="BA3" i="13"/>
  <c r="A16" i="3"/>
  <c r="BG20" i="2" l="1"/>
  <c r="AB20" i="2" s="1"/>
  <c r="P18" i="3" s="1"/>
  <c r="BH20" i="2"/>
  <c r="AC20" i="2" s="1"/>
  <c r="O18" i="3" s="1"/>
  <c r="BF20" i="2"/>
  <c r="AA20" i="2" s="1"/>
  <c r="N18" i="3" s="1"/>
  <c r="N13" i="2"/>
  <c r="AZ13" i="2" s="1"/>
  <c r="BA13" i="2" s="1"/>
  <c r="N19" i="2"/>
  <c r="F74" i="12"/>
  <c r="F77" i="12" s="1"/>
  <c r="E77" i="12"/>
  <c r="AF11" i="2"/>
  <c r="S9" i="3" s="1"/>
  <c r="O12" i="2"/>
  <c r="AF10" i="2"/>
  <c r="S8" i="3" s="1"/>
  <c r="DB75" i="12"/>
  <c r="DC75" i="12"/>
  <c r="DI75" i="12" s="1"/>
  <c r="H75" i="12" s="1"/>
  <c r="I75" i="12" s="1"/>
  <c r="AU75" i="12"/>
  <c r="BC75" i="12" s="1"/>
  <c r="BG75" i="12" s="1"/>
  <c r="DA75" i="12"/>
  <c r="DE75" i="12" s="1"/>
  <c r="AS75" i="12"/>
  <c r="BA75" i="12" s="1"/>
  <c r="BE75" i="12" s="1"/>
  <c r="I20" i="15"/>
  <c r="CR75" i="12"/>
  <c r="CZ75" i="12" s="1"/>
  <c r="DD75" i="12" s="1"/>
  <c r="AT75" i="12"/>
  <c r="BB75" i="12" s="1"/>
  <c r="BF75" i="12" s="1"/>
  <c r="BD75" i="12"/>
  <c r="BH75" i="12" s="1"/>
  <c r="AA44" i="1"/>
  <c r="DT44" i="1"/>
  <c r="N14" i="2" s="1"/>
  <c r="EF43" i="1"/>
  <c r="O13" i="2" s="1"/>
  <c r="A17" i="3"/>
  <c r="AW13" i="2" l="1"/>
  <c r="W13" i="2" s="1"/>
  <c r="J11" i="3" s="1"/>
  <c r="S13" i="2"/>
  <c r="F11" i="3" s="1"/>
  <c r="S12" i="2"/>
  <c r="F10" i="3" s="1"/>
  <c r="AW12" i="2"/>
  <c r="W12" i="2" s="1"/>
  <c r="J10" i="3" s="1"/>
  <c r="BF13" i="2"/>
  <c r="AA13" i="2" s="1"/>
  <c r="N11" i="3" s="1"/>
  <c r="BH13" i="2"/>
  <c r="AC13" i="2" s="1"/>
  <c r="O11" i="3" s="1"/>
  <c r="BG13" i="2"/>
  <c r="AB13" i="2" s="1"/>
  <c r="P11" i="3" s="1"/>
  <c r="AZ19" i="2"/>
  <c r="BA19" i="2" s="1"/>
  <c r="BH19" i="2"/>
  <c r="AC19" i="2" s="1"/>
  <c r="O17" i="3" s="1"/>
  <c r="BF19" i="2"/>
  <c r="AA19" i="2" s="1"/>
  <c r="N17" i="3" s="1"/>
  <c r="BG19" i="2"/>
  <c r="AB19" i="2" s="1"/>
  <c r="P17" i="3" s="1"/>
  <c r="Q12" i="2"/>
  <c r="E10" i="3" s="1"/>
  <c r="D10" i="3"/>
  <c r="Q13" i="2"/>
  <c r="E11" i="3" s="1"/>
  <c r="D11" i="3"/>
  <c r="BH14" i="2"/>
  <c r="AC14" i="2" s="1"/>
  <c r="O12" i="3" s="1"/>
  <c r="BG14" i="2"/>
  <c r="AB14" i="2" s="1"/>
  <c r="P12" i="3" s="1"/>
  <c r="BF14" i="2"/>
  <c r="AA14" i="2" s="1"/>
  <c r="N12" i="3" s="1"/>
  <c r="AZ14" i="2"/>
  <c r="BA14" i="2" s="1"/>
  <c r="GB39" i="1"/>
  <c r="GC39" i="1" s="1"/>
  <c r="AL7" i="2" s="1"/>
  <c r="AK7" i="2" s="1"/>
  <c r="X5" i="3" s="1"/>
  <c r="AN74" i="12"/>
  <c r="CK74" i="12"/>
  <c r="AA45" i="1"/>
  <c r="EF44" i="1"/>
  <c r="O14" i="2" s="1"/>
  <c r="DT45" i="1"/>
  <c r="N15" i="2" s="1"/>
  <c r="A18" i="3"/>
  <c r="AW14" i="2" l="1"/>
  <c r="W14" i="2" s="1"/>
  <c r="J12" i="3" s="1"/>
  <c r="S14" i="2"/>
  <c r="F12" i="3" s="1"/>
  <c r="AF12" i="2"/>
  <c r="S10" i="3" s="1"/>
  <c r="Q14" i="2"/>
  <c r="E12" i="3" s="1"/>
  <c r="D12" i="3"/>
  <c r="BH15" i="2"/>
  <c r="AC15" i="2" s="1"/>
  <c r="O13" i="3" s="1"/>
  <c r="AZ15" i="2"/>
  <c r="BA15" i="2" s="1"/>
  <c r="BF15" i="2"/>
  <c r="AA15" i="2" s="1"/>
  <c r="N13" i="3" s="1"/>
  <c r="BG15" i="2"/>
  <c r="AB15" i="2" s="1"/>
  <c r="P13" i="3" s="1"/>
  <c r="AF13" i="2"/>
  <c r="S11" i="3" s="1"/>
  <c r="AL5" i="2"/>
  <c r="AL12" i="2"/>
  <c r="AK12" i="2" s="1"/>
  <c r="X10" i="3" s="1"/>
  <c r="AL16" i="2"/>
  <c r="AK16" i="2" s="1"/>
  <c r="X14" i="3" s="1"/>
  <c r="AL15" i="2"/>
  <c r="AK15" i="2" s="1"/>
  <c r="X13" i="3" s="1"/>
  <c r="CW74" i="12"/>
  <c r="CL74" i="12"/>
  <c r="CU74" i="12"/>
  <c r="CO74" i="12"/>
  <c r="DA74" i="12" s="1"/>
  <c r="CN74" i="12"/>
  <c r="CM74" i="12"/>
  <c r="CV74" i="12"/>
  <c r="CT74" i="12"/>
  <c r="AR74" i="12"/>
  <c r="AQ74" i="12"/>
  <c r="AP74" i="12"/>
  <c r="AZ74" i="12"/>
  <c r="AY74" i="12"/>
  <c r="AW74" i="12"/>
  <c r="AX74" i="12"/>
  <c r="AO74" i="12"/>
  <c r="AA46" i="1"/>
  <c r="DT46" i="1"/>
  <c r="EF45" i="1"/>
  <c r="A19" i="3"/>
  <c r="O15" i="2" l="1"/>
  <c r="N16" i="2"/>
  <c r="AF14" i="2"/>
  <c r="S12" i="3" s="1"/>
  <c r="DE74" i="12"/>
  <c r="CR74" i="12"/>
  <c r="CZ74" i="12" s="1"/>
  <c r="DD74" i="12" s="1"/>
  <c r="AS74" i="12"/>
  <c r="BA74" i="12" s="1"/>
  <c r="BE74" i="12" s="1"/>
  <c r="CP74" i="12"/>
  <c r="CX74" i="12" s="1"/>
  <c r="DB74" i="12" s="1"/>
  <c r="CQ74" i="12"/>
  <c r="CY74" i="12" s="1"/>
  <c r="DC74" i="12" s="1"/>
  <c r="AT74" i="12"/>
  <c r="BB74" i="12" s="1"/>
  <c r="BF74" i="12" s="1"/>
  <c r="AU74" i="12"/>
  <c r="BC74" i="12" s="1"/>
  <c r="BG74" i="12" s="1"/>
  <c r="AV74" i="12"/>
  <c r="BD74" i="12" s="1"/>
  <c r="BH74" i="12" s="1"/>
  <c r="AA47" i="1"/>
  <c r="EF46" i="1"/>
  <c r="O16" i="2" s="1"/>
  <c r="DT47" i="1"/>
  <c r="A20" i="3"/>
  <c r="AW16" i="2" l="1"/>
  <c r="W16" i="2" s="1"/>
  <c r="J14" i="3" s="1"/>
  <c r="AW15" i="2"/>
  <c r="W15" i="2" s="1"/>
  <c r="J13" i="3" s="1"/>
  <c r="S15" i="2"/>
  <c r="F13" i="3" s="1"/>
  <c r="DI74" i="12"/>
  <c r="H74" i="12" s="1"/>
  <c r="D14" i="3"/>
  <c r="Q16" i="2"/>
  <c r="E14" i="3" s="1"/>
  <c r="GB38" i="1"/>
  <c r="GC38" i="1" s="1"/>
  <c r="AL14" i="2" s="1"/>
  <c r="AK14" i="2" s="1"/>
  <c r="X12" i="3" s="1"/>
  <c r="AZ16" i="2"/>
  <c r="BA16" i="2" s="1"/>
  <c r="S16" i="2" s="1"/>
  <c r="BH16" i="2"/>
  <c r="AC16" i="2" s="1"/>
  <c r="O14" i="3" s="1"/>
  <c r="BG16" i="2"/>
  <c r="AB16" i="2" s="1"/>
  <c r="P14" i="3" s="1"/>
  <c r="BF16" i="2"/>
  <c r="AA16" i="2" s="1"/>
  <c r="N14" i="3" s="1"/>
  <c r="D13" i="3"/>
  <c r="Q15" i="2"/>
  <c r="E13" i="3" s="1"/>
  <c r="N17" i="2"/>
  <c r="I74" i="12"/>
  <c r="AA48" i="1"/>
  <c r="DT48" i="1"/>
  <c r="N18" i="2" s="1"/>
  <c r="EF47" i="1"/>
  <c r="O17" i="2" s="1"/>
  <c r="A21" i="3"/>
  <c r="A22" i="3" s="1"/>
  <c r="F14" i="3" l="1"/>
  <c r="AL4" i="2"/>
  <c r="AL13" i="2"/>
  <c r="AK13" i="2" s="1"/>
  <c r="X11" i="3" s="1"/>
  <c r="X29" i="3" s="1"/>
  <c r="AZ18" i="2"/>
  <c r="BA18" i="2" s="1"/>
  <c r="BG18" i="2"/>
  <c r="AB18" i="2" s="1"/>
  <c r="P16" i="3" s="1"/>
  <c r="BF18" i="2"/>
  <c r="AA18" i="2" s="1"/>
  <c r="N16" i="3" s="1"/>
  <c r="AZ17" i="2"/>
  <c r="BA17" i="2" s="1"/>
  <c r="BG17" i="2"/>
  <c r="AB17" i="2" s="1"/>
  <c r="P15" i="3" s="1"/>
  <c r="BH17" i="2"/>
  <c r="AC17" i="2" s="1"/>
  <c r="O15" i="3" s="1"/>
  <c r="BF17" i="2"/>
  <c r="AA17" i="2" s="1"/>
  <c r="N15" i="3" s="1"/>
  <c r="BH18" i="2"/>
  <c r="AC18" i="2" s="1"/>
  <c r="O16" i="3" s="1"/>
  <c r="AF15" i="2"/>
  <c r="S13" i="3" s="1"/>
  <c r="AF16" i="2"/>
  <c r="S14" i="3" s="1"/>
  <c r="AW17" i="2"/>
  <c r="W17" i="2" s="1"/>
  <c r="J15" i="3" s="1"/>
  <c r="Q17" i="2"/>
  <c r="E15" i="3" s="1"/>
  <c r="D15" i="3"/>
  <c r="AA49" i="1"/>
  <c r="DT49" i="1"/>
  <c r="EF48" i="1"/>
  <c r="O18" i="2" s="1"/>
  <c r="AD3" i="13"/>
  <c r="S18" i="2" l="1"/>
  <c r="S17" i="2"/>
  <c r="F15" i="3" s="1"/>
  <c r="AR43" i="5"/>
  <c r="AS43" i="5" s="1"/>
  <c r="AT43" i="5" s="1"/>
  <c r="I41" i="8"/>
  <c r="BH2" i="13"/>
  <c r="BH3" i="13" s="1"/>
  <c r="N29" i="3"/>
  <c r="AX2" i="13" s="1"/>
  <c r="AX3" i="13" s="1"/>
  <c r="P29" i="3"/>
  <c r="AZ2" i="13" s="1"/>
  <c r="AZ3" i="13" s="1"/>
  <c r="O29" i="3"/>
  <c r="AY2" i="13" s="1"/>
  <c r="AY3" i="13" s="1"/>
  <c r="AF17" i="2"/>
  <c r="S15" i="3" s="1"/>
  <c r="AW18" i="2"/>
  <c r="W18" i="2" s="1"/>
  <c r="J16" i="3" s="1"/>
  <c r="AA50" i="1"/>
  <c r="F16" i="3"/>
  <c r="Q18" i="2"/>
  <c r="E16" i="3" s="1"/>
  <c r="D16" i="3"/>
  <c r="DT50" i="1"/>
  <c r="EF49" i="1"/>
  <c r="O19" i="2" s="1"/>
  <c r="S19" i="2" s="1"/>
  <c r="AZ16" i="5" l="1"/>
  <c r="AF18" i="2"/>
  <c r="S16" i="3" s="1"/>
  <c r="D17" i="3"/>
  <c r="AW19" i="2"/>
  <c r="W19" i="2" s="1"/>
  <c r="J17" i="3" s="1"/>
  <c r="AA51" i="1"/>
  <c r="F17" i="3"/>
  <c r="Q19" i="2"/>
  <c r="AF19" i="2" s="1"/>
  <c r="DT51" i="1"/>
  <c r="EF50" i="1"/>
  <c r="O20" i="2" s="1"/>
  <c r="S20" i="2" s="1"/>
  <c r="AW20" i="2" l="1"/>
  <c r="W20" i="2" s="1"/>
  <c r="J18" i="3" s="1"/>
  <c r="D18" i="3"/>
  <c r="F18" i="3"/>
  <c r="Q20" i="2"/>
  <c r="AF20" i="2" s="1"/>
  <c r="AA52" i="1"/>
  <c r="EF51" i="1"/>
  <c r="O21" i="2" s="1"/>
  <c r="S21" i="2" s="1"/>
  <c r="DT52" i="1"/>
  <c r="AW21" i="2" l="1"/>
  <c r="W21" i="2" s="1"/>
  <c r="D19" i="3"/>
  <c r="D29" i="3" s="1"/>
  <c r="N8" i="5" s="1"/>
  <c r="E10" i="5" s="1"/>
  <c r="F19" i="3"/>
  <c r="F29" i="3" s="1"/>
  <c r="J19" i="3"/>
  <c r="Q21" i="2"/>
  <c r="AF21" i="2" s="1"/>
  <c r="AE20" i="2"/>
  <c r="AA53" i="1"/>
  <c r="DT53" i="1"/>
  <c r="EF52" i="1"/>
  <c r="O22" i="2" s="1"/>
  <c r="S22" i="2" s="1"/>
  <c r="AW22" i="2" l="1"/>
  <c r="AZ15" i="5"/>
  <c r="AZ17" i="5" s="1"/>
  <c r="AP2" i="13"/>
  <c r="AP3" i="13" s="1"/>
  <c r="AN20" i="2"/>
  <c r="Y18" i="3" s="1"/>
  <c r="AE21" i="2"/>
  <c r="Q22" i="2"/>
  <c r="AF22" i="2" s="1"/>
  <c r="J29" i="3"/>
  <c r="AT2" i="13" s="1"/>
  <c r="AT3" i="13" s="1"/>
  <c r="AA54" i="1"/>
  <c r="DT54" i="1"/>
  <c r="EF53" i="1"/>
  <c r="O23" i="2" s="1"/>
  <c r="S23" i="2" s="1"/>
  <c r="C9" i="5" l="1"/>
  <c r="N7" i="5"/>
  <c r="AR9" i="5" s="1"/>
  <c r="AW23" i="2"/>
  <c r="AN21" i="2"/>
  <c r="Y19" i="3" s="1"/>
  <c r="Q23" i="2"/>
  <c r="AF23" i="2" s="1"/>
  <c r="AA55" i="1"/>
  <c r="AE22" i="2"/>
  <c r="EF54" i="1"/>
  <c r="O24" i="2" s="1"/>
  <c r="S24" i="2" s="1"/>
  <c r="DT55" i="1"/>
  <c r="EF55" i="1" s="1"/>
  <c r="AW24" i="2" l="1"/>
  <c r="AE23" i="2"/>
  <c r="Q24" i="2"/>
  <c r="AF24" i="2" s="1"/>
  <c r="AE24" i="2" l="1"/>
  <c r="N18" i="5" l="1"/>
  <c r="N19" i="5" s="1"/>
  <c r="P19" i="5" l="1"/>
  <c r="P17" i="5"/>
  <c r="A17" i="11" l="1"/>
  <c r="C17" i="11" s="1"/>
  <c r="N17" i="11" s="1"/>
  <c r="P18" i="5"/>
  <c r="I11" i="8" l="1"/>
  <c r="O20" i="5"/>
  <c r="D17" i="11"/>
  <c r="E17" i="11" s="1"/>
  <c r="F17" i="11" s="1"/>
  <c r="L17" i="11" s="1"/>
  <c r="G17" i="11"/>
  <c r="K17" i="11" l="1"/>
  <c r="M17" i="11" s="1"/>
  <c r="J17" i="11"/>
  <c r="H17" i="11"/>
  <c r="O17" i="11"/>
  <c r="I17" i="11"/>
  <c r="P17" i="11"/>
  <c r="Q17" i="11" l="1"/>
  <c r="B17" i="11" s="1"/>
  <c r="C6" i="9" s="1"/>
  <c r="I9" i="12" l="1"/>
  <c r="I48" i="12"/>
  <c r="X5" i="2" l="1"/>
  <c r="X19" i="2" l="1"/>
  <c r="X4" i="2"/>
  <c r="X15" i="2" s="1"/>
  <c r="K17" i="3"/>
  <c r="AE19" i="2"/>
  <c r="X7" i="2"/>
  <c r="AE7" i="2" s="1"/>
  <c r="X12" i="2"/>
  <c r="X10" i="2"/>
  <c r="X18" i="2"/>
  <c r="X16" i="2"/>
  <c r="X13" i="2"/>
  <c r="X9" i="2"/>
  <c r="X17" i="2"/>
  <c r="X14" i="2"/>
  <c r="X8" i="2"/>
  <c r="X11" i="2"/>
  <c r="AN19" i="2" l="1"/>
  <c r="Y17" i="3" s="1"/>
  <c r="AN7" i="2"/>
  <c r="Y5" i="3" s="1"/>
  <c r="K5" i="3"/>
  <c r="R5" i="3" s="1"/>
  <c r="AE14" i="2"/>
  <c r="K12" i="3"/>
  <c r="R12" i="3" s="1"/>
  <c r="K11" i="3"/>
  <c r="R11" i="3" s="1"/>
  <c r="AE13" i="2"/>
  <c r="K14" i="3"/>
  <c r="R14" i="3" s="1"/>
  <c r="AE16" i="2"/>
  <c r="K16" i="3"/>
  <c r="R16" i="3" s="1"/>
  <c r="AE18" i="2"/>
  <c r="AE17" i="2"/>
  <c r="K15" i="3"/>
  <c r="R15" i="3" s="1"/>
  <c r="K13" i="3"/>
  <c r="R13" i="3" s="1"/>
  <c r="AE15" i="2"/>
  <c r="AE10" i="2"/>
  <c r="K8" i="3"/>
  <c r="R8" i="3" s="1"/>
  <c r="AE9" i="2"/>
  <c r="K7" i="3"/>
  <c r="R7" i="3" s="1"/>
  <c r="AE11" i="2"/>
  <c r="K9" i="3"/>
  <c r="R9" i="3" s="1"/>
  <c r="K6" i="3"/>
  <c r="R6" i="3" s="1"/>
  <c r="AE8" i="2"/>
  <c r="K10" i="3"/>
  <c r="R10" i="3" s="1"/>
  <c r="AE12" i="2"/>
  <c r="AN8" i="2" l="1"/>
  <c r="Y6" i="3" s="1"/>
  <c r="AB6" i="3" s="1"/>
  <c r="AN10" i="2"/>
  <c r="Y8" i="3" s="1"/>
  <c r="AB8" i="3" s="1"/>
  <c r="AN14" i="2"/>
  <c r="Y12" i="3" s="1"/>
  <c r="AB12" i="3" s="1"/>
  <c r="AN18" i="2"/>
  <c r="Y16" i="3" s="1"/>
  <c r="AB16" i="3" s="1"/>
  <c r="AN17" i="2"/>
  <c r="Y15" i="3" s="1"/>
  <c r="AB15" i="3" s="1"/>
  <c r="AN11" i="2"/>
  <c r="Y9" i="3" s="1"/>
  <c r="AB9" i="3" s="1"/>
  <c r="AN12" i="2"/>
  <c r="Y10" i="3" s="1"/>
  <c r="AB10" i="3" s="1"/>
  <c r="AN16" i="2"/>
  <c r="Y14" i="3" s="1"/>
  <c r="AB14" i="3" s="1"/>
  <c r="AN15" i="2"/>
  <c r="Y13" i="3" s="1"/>
  <c r="AB13" i="3" s="1"/>
  <c r="AN13" i="2"/>
  <c r="Y11" i="3" s="1"/>
  <c r="AB11" i="3" s="1"/>
  <c r="AN9" i="2"/>
  <c r="Y7" i="3" s="1"/>
  <c r="AN9" i="13"/>
  <c r="AN8" i="13"/>
  <c r="AN10" i="13"/>
  <c r="AN11" i="13"/>
  <c r="AN6" i="13"/>
  <c r="K29" i="3"/>
  <c r="AN15" i="13"/>
  <c r="AB5" i="3"/>
  <c r="AN5" i="13"/>
  <c r="AN12" i="13"/>
  <c r="AN16" i="13"/>
  <c r="AN14" i="13"/>
  <c r="AN13" i="13"/>
  <c r="AN7" i="13"/>
  <c r="AB7" i="3" l="1"/>
  <c r="Y29" i="3"/>
  <c r="BI2" i="13" s="1"/>
  <c r="BI3" i="13" s="1"/>
  <c r="BD15" i="5"/>
  <c r="AU2" i="13"/>
  <c r="AU3" i="13" s="1"/>
  <c r="AS18" i="5" l="1"/>
  <c r="AS19" i="5" s="1"/>
  <c r="AV12" i="5"/>
  <c r="BD17" i="5"/>
  <c r="AS12" i="5" s="1"/>
  <c r="BD49" i="1" l="1"/>
  <c r="BD47" i="1"/>
  <c r="BD44" i="1"/>
  <c r="Q27" i="2" s="1"/>
  <c r="AF27" i="2" s="1"/>
  <c r="E17" i="3"/>
  <c r="R17" i="3" s="1"/>
  <c r="BD46" i="1"/>
  <c r="BD45" i="1"/>
  <c r="Q28" i="2" s="1"/>
  <c r="AF28" i="2" s="1"/>
  <c r="AN17" i="13" l="1"/>
  <c r="E20" i="3"/>
  <c r="R20" i="3" s="1"/>
  <c r="AN20" i="13" s="1"/>
  <c r="S20" i="3"/>
  <c r="E19" i="3"/>
  <c r="R19" i="3" s="1"/>
  <c r="E18" i="3"/>
  <c r="S18" i="3" l="1"/>
  <c r="S17" i="3"/>
  <c r="AB17" i="3" s="1"/>
  <c r="S19" i="3"/>
  <c r="E29" i="3"/>
  <c r="N9" i="5" s="1"/>
  <c r="E11" i="5" s="1"/>
  <c r="AB20" i="3"/>
  <c r="AN19" i="13"/>
  <c r="R18" i="3"/>
  <c r="R29" i="3" s="1"/>
  <c r="N10" i="5" l="1"/>
  <c r="N12" i="5" s="1"/>
  <c r="S29" i="3"/>
  <c r="AB19" i="3"/>
  <c r="AO2" i="13"/>
  <c r="AO3" i="13" s="1"/>
  <c r="AN18" i="13"/>
  <c r="AB18" i="3"/>
  <c r="BB2" i="13"/>
  <c r="BB3" i="13" s="1"/>
  <c r="AN29" i="13"/>
  <c r="N11" i="5" l="1"/>
  <c r="N14" i="5" s="1"/>
  <c r="BC2" i="13"/>
  <c r="BC3" i="13" s="1"/>
  <c r="H38" i="4"/>
  <c r="AB29" i="3"/>
  <c r="BL2" i="13" s="1"/>
  <c r="BL3" i="13" s="1"/>
  <c r="I29" i="8"/>
  <c r="H48" i="4"/>
  <c r="H35" i="4" s="1"/>
  <c r="AR29" i="5"/>
  <c r="AR38" i="5" s="1"/>
  <c r="AO22" i="13"/>
  <c r="C21" i="13" s="1"/>
  <c r="AR11" i="5"/>
  <c r="AO23" i="13"/>
  <c r="AO24" i="13"/>
  <c r="AO27" i="13"/>
  <c r="AO17" i="13"/>
  <c r="AO13" i="13"/>
  <c r="AO10" i="13"/>
  <c r="AO9" i="13"/>
  <c r="AO25" i="13"/>
  <c r="AO16" i="13"/>
  <c r="AO6" i="13"/>
  <c r="AO18" i="13"/>
  <c r="AO7" i="13"/>
  <c r="AO12" i="13"/>
  <c r="AO15" i="13"/>
  <c r="AO21" i="13"/>
  <c r="AO5" i="13"/>
  <c r="AO14" i="13"/>
  <c r="AO19" i="13"/>
  <c r="AO11" i="13"/>
  <c r="AO26" i="13"/>
  <c r="AO8" i="13"/>
  <c r="AO20" i="13"/>
  <c r="N13" i="5" l="1"/>
  <c r="AR10" i="5" s="1"/>
  <c r="AS8" i="5" s="1"/>
  <c r="AS14" i="5" s="1"/>
  <c r="N44" i="1"/>
  <c r="BK4" i="13"/>
  <c r="H37" i="4"/>
  <c r="AV51" i="5"/>
  <c r="H39" i="4"/>
  <c r="AY4" i="13"/>
  <c r="O3" i="13" s="1"/>
  <c r="AS4" i="13"/>
  <c r="I3" i="13" s="1"/>
  <c r="BA4" i="13"/>
  <c r="Q3" i="13" s="1"/>
  <c r="AO4" i="13"/>
  <c r="E19" i="13" s="1"/>
  <c r="BE4" i="13"/>
  <c r="U15" i="13" s="1"/>
  <c r="AU4" i="13"/>
  <c r="K3" i="13" s="1"/>
  <c r="BJ4" i="13"/>
  <c r="Z3" i="13" s="1"/>
  <c r="BB4" i="13"/>
  <c r="R3" i="13" s="1"/>
  <c r="AT4" i="13"/>
  <c r="J7" i="13" s="1"/>
  <c r="AV4" i="13"/>
  <c r="L3" i="13" s="1"/>
  <c r="AR4" i="13"/>
  <c r="H3" i="13" s="1"/>
  <c r="BC4" i="13"/>
  <c r="S3" i="13" s="1"/>
  <c r="BF4" i="13"/>
  <c r="V3" i="13" s="1"/>
  <c r="BI4" i="13"/>
  <c r="Y15" i="13" s="1"/>
  <c r="BM4" i="13"/>
  <c r="BH4" i="13"/>
  <c r="X3" i="13" s="1"/>
  <c r="AW4" i="13"/>
  <c r="M6" i="13" s="1"/>
  <c r="AZ4" i="13"/>
  <c r="P16" i="13" s="1"/>
  <c r="AS29" i="5"/>
  <c r="AS38" i="5" s="1"/>
  <c r="AQ4" i="13"/>
  <c r="G7" i="13" s="1"/>
  <c r="AP4" i="13"/>
  <c r="F3" i="13" s="1"/>
  <c r="AX4" i="13"/>
  <c r="N3" i="13" s="1"/>
  <c r="BD4" i="13"/>
  <c r="T3" i="13" s="1"/>
  <c r="BL4" i="13"/>
  <c r="BN4" i="13"/>
  <c r="BG4" i="13"/>
  <c r="W18" i="13" s="1"/>
  <c r="D21" i="13"/>
  <c r="A21" i="13"/>
  <c r="C7" i="13"/>
  <c r="A7" i="13"/>
  <c r="D7" i="13"/>
  <c r="A19" i="13"/>
  <c r="D19" i="13"/>
  <c r="C19" i="13"/>
  <c r="C26" i="13"/>
  <c r="A26" i="13"/>
  <c r="D26" i="13"/>
  <c r="C12" i="13"/>
  <c r="A12" i="13"/>
  <c r="D12" i="13"/>
  <c r="A16" i="13"/>
  <c r="D16" i="13"/>
  <c r="C16" i="13"/>
  <c r="D17" i="13"/>
  <c r="A17" i="13"/>
  <c r="C17" i="13"/>
  <c r="C18" i="13"/>
  <c r="D18" i="13"/>
  <c r="A18" i="13"/>
  <c r="D5" i="13"/>
  <c r="B5" i="13"/>
  <c r="C5" i="13"/>
  <c r="A5" i="13"/>
  <c r="D23" i="13"/>
  <c r="C23" i="13"/>
  <c r="A23" i="13"/>
  <c r="C11" i="13"/>
  <c r="D11" i="13"/>
  <c r="A11" i="13"/>
  <c r="D6" i="13"/>
  <c r="C6" i="13"/>
  <c r="A6" i="13"/>
  <c r="A13" i="13"/>
  <c r="D13" i="13"/>
  <c r="C13" i="13"/>
  <c r="A15" i="13"/>
  <c r="C15" i="13"/>
  <c r="D15" i="13"/>
  <c r="A22" i="13"/>
  <c r="C22" i="13"/>
  <c r="D22" i="13"/>
  <c r="C10" i="13"/>
  <c r="D10" i="13"/>
  <c r="A10" i="13"/>
  <c r="B4" i="13"/>
  <c r="D4" i="13"/>
  <c r="A4" i="13"/>
  <c r="C4" i="13"/>
  <c r="C24" i="13"/>
  <c r="D24" i="13"/>
  <c r="A24" i="13"/>
  <c r="D20" i="13"/>
  <c r="A20" i="13"/>
  <c r="C20" i="13"/>
  <c r="C8" i="13"/>
  <c r="A8" i="13"/>
  <c r="D8" i="13"/>
  <c r="A25" i="13"/>
  <c r="D25" i="13"/>
  <c r="C25" i="13"/>
  <c r="C14" i="13"/>
  <c r="D14" i="13"/>
  <c r="A14" i="13"/>
  <c r="D9" i="13"/>
  <c r="A9" i="13"/>
  <c r="C9" i="13"/>
  <c r="AT6" i="5" l="1"/>
  <c r="AV6" i="5" s="1"/>
  <c r="AW51" i="5" s="1"/>
  <c r="AR39" i="5"/>
  <c r="AR40" i="5" s="1"/>
  <c r="AS39" i="5"/>
  <c r="AS40" i="5" s="1"/>
  <c r="AT40" i="5" s="1"/>
  <c r="Q32" i="4"/>
  <c r="Q42" i="4" s="1"/>
  <c r="K7" i="5"/>
  <c r="O21" i="6" s="1"/>
  <c r="P24" i="6" s="1"/>
  <c r="H40" i="4"/>
  <c r="E20" i="13"/>
  <c r="Q25" i="13"/>
  <c r="Q18" i="13"/>
  <c r="Q6" i="13"/>
  <c r="E18" i="13"/>
  <c r="I24" i="13"/>
  <c r="Q14" i="13"/>
  <c r="Q12" i="13"/>
  <c r="Q11" i="13"/>
  <c r="H22" i="13"/>
  <c r="Q7" i="13"/>
  <c r="Q23" i="13"/>
  <c r="P14" i="13"/>
  <c r="O14" i="13"/>
  <c r="O4" i="13"/>
  <c r="O24" i="13"/>
  <c r="J22" i="13"/>
  <c r="Q22" i="13"/>
  <c r="E22" i="13"/>
  <c r="H9" i="13"/>
  <c r="M10" i="13"/>
  <c r="J5" i="13"/>
  <c r="Q26" i="13"/>
  <c r="Q19" i="13"/>
  <c r="L15" i="13"/>
  <c r="I17" i="13"/>
  <c r="L24" i="13"/>
  <c r="E3" i="13"/>
  <c r="O7" i="13"/>
  <c r="I20" i="13"/>
  <c r="E14" i="13"/>
  <c r="P20" i="13"/>
  <c r="E10" i="13"/>
  <c r="P9" i="13"/>
  <c r="L4" i="13"/>
  <c r="I9" i="13"/>
  <c r="I14" i="13"/>
  <c r="L10" i="13"/>
  <c r="P13" i="13"/>
  <c r="L12" i="13"/>
  <c r="I7" i="13"/>
  <c r="I25" i="13"/>
  <c r="I8" i="13"/>
  <c r="I4" i="13"/>
  <c r="P10" i="13"/>
  <c r="I22" i="13"/>
  <c r="I6" i="13"/>
  <c r="L5" i="13"/>
  <c r="P18" i="13"/>
  <c r="I15" i="13"/>
  <c r="L11" i="13"/>
  <c r="I5" i="13"/>
  <c r="L18" i="13"/>
  <c r="I19" i="13"/>
  <c r="L25" i="13"/>
  <c r="L20" i="13"/>
  <c r="P24" i="13"/>
  <c r="P8" i="13"/>
  <c r="P4" i="13"/>
  <c r="L22" i="13"/>
  <c r="I13" i="13"/>
  <c r="L16" i="13"/>
  <c r="L9" i="13"/>
  <c r="L14" i="13"/>
  <c r="P25" i="13"/>
  <c r="L8" i="13"/>
  <c r="P22" i="13"/>
  <c r="L6" i="13"/>
  <c r="P11" i="13"/>
  <c r="I23" i="13"/>
  <c r="I21" i="13"/>
  <c r="L7" i="13"/>
  <c r="I10" i="13"/>
  <c r="P15" i="13"/>
  <c r="I11" i="13"/>
  <c r="L23" i="13"/>
  <c r="I18" i="13"/>
  <c r="P12" i="13"/>
  <c r="J24" i="13"/>
  <c r="O13" i="13"/>
  <c r="O9" i="13"/>
  <c r="O8" i="13"/>
  <c r="O16" i="13"/>
  <c r="J8" i="13"/>
  <c r="O22" i="13"/>
  <c r="J9" i="13"/>
  <c r="O20" i="13"/>
  <c r="J4" i="13"/>
  <c r="O10" i="13"/>
  <c r="M3" i="13"/>
  <c r="O5" i="13"/>
  <c r="J18" i="13"/>
  <c r="M11" i="13"/>
  <c r="O18" i="13"/>
  <c r="O12" i="13"/>
  <c r="J26" i="13"/>
  <c r="L19" i="13"/>
  <c r="J6" i="13"/>
  <c r="L26" i="13"/>
  <c r="L21" i="13"/>
  <c r="M12" i="13"/>
  <c r="Q21" i="13"/>
  <c r="J17" i="13"/>
  <c r="S14" i="13"/>
  <c r="E17" i="13"/>
  <c r="Q8" i="13"/>
  <c r="H20" i="13"/>
  <c r="H24" i="13"/>
  <c r="Q13" i="13"/>
  <c r="Q24" i="13"/>
  <c r="Q4" i="13"/>
  <c r="Q15" i="13"/>
  <c r="H23" i="13"/>
  <c r="Q17" i="13"/>
  <c r="M17" i="13"/>
  <c r="S21" i="13"/>
  <c r="O23" i="13"/>
  <c r="E16" i="13"/>
  <c r="E13" i="13"/>
  <c r="J11" i="13"/>
  <c r="E23" i="13"/>
  <c r="M5" i="13"/>
  <c r="M16" i="13"/>
  <c r="M14" i="13"/>
  <c r="E25" i="13"/>
  <c r="E21" i="13"/>
  <c r="M26" i="13"/>
  <c r="U14" i="13"/>
  <c r="J25" i="13"/>
  <c r="O15" i="13"/>
  <c r="M18" i="13"/>
  <c r="O17" i="13"/>
  <c r="E9" i="13"/>
  <c r="M25" i="13"/>
  <c r="M20" i="13"/>
  <c r="J15" i="13"/>
  <c r="O26" i="13"/>
  <c r="O19" i="13"/>
  <c r="S7" i="13"/>
  <c r="Q9" i="13"/>
  <c r="J14" i="13"/>
  <c r="H14" i="13"/>
  <c r="O25" i="13"/>
  <c r="O21" i="13"/>
  <c r="H8" i="13"/>
  <c r="M24" i="13"/>
  <c r="O6" i="13"/>
  <c r="M23" i="13"/>
  <c r="Q5" i="13"/>
  <c r="H16" i="13"/>
  <c r="E26" i="13"/>
  <c r="H19" i="13"/>
  <c r="U25" i="13"/>
  <c r="U22" i="13"/>
  <c r="K17" i="13"/>
  <c r="J20" i="13"/>
  <c r="J10" i="13"/>
  <c r="S22" i="13"/>
  <c r="L13" i="13"/>
  <c r="P6" i="13"/>
  <c r="O11" i="13"/>
  <c r="P23" i="13"/>
  <c r="P5" i="13"/>
  <c r="L17" i="13"/>
  <c r="I16" i="13"/>
  <c r="J16" i="13"/>
  <c r="I12" i="13"/>
  <c r="I26" i="13"/>
  <c r="E7" i="13"/>
  <c r="U16" i="13"/>
  <c r="S6" i="13"/>
  <c r="J19" i="13"/>
  <c r="U13" i="13"/>
  <c r="E12" i="13"/>
  <c r="E4" i="13"/>
  <c r="Q10" i="13"/>
  <c r="H15" i="13"/>
  <c r="H5" i="13"/>
  <c r="Q16" i="13"/>
  <c r="H12" i="13"/>
  <c r="K10" i="13"/>
  <c r="E6" i="13"/>
  <c r="S23" i="13"/>
  <c r="S19" i="13"/>
  <c r="E8" i="13"/>
  <c r="Q20" i="13"/>
  <c r="E24" i="13"/>
  <c r="E15" i="13"/>
  <c r="E11" i="13"/>
  <c r="E5" i="13"/>
  <c r="H18" i="13"/>
  <c r="H17" i="13"/>
  <c r="H7" i="13"/>
  <c r="Z13" i="13"/>
  <c r="R23" i="13"/>
  <c r="K12" i="13"/>
  <c r="K19" i="13"/>
  <c r="Z7" i="13"/>
  <c r="Z18" i="13"/>
  <c r="R7" i="13"/>
  <c r="Z11" i="13"/>
  <c r="K5" i="13"/>
  <c r="U26" i="13"/>
  <c r="U19" i="13"/>
  <c r="R17" i="13"/>
  <c r="K24" i="13"/>
  <c r="X6" i="13"/>
  <c r="K11" i="13"/>
  <c r="R21" i="13"/>
  <c r="Z14" i="13"/>
  <c r="R14" i="13"/>
  <c r="G21" i="13"/>
  <c r="U24" i="13"/>
  <c r="U10" i="13"/>
  <c r="U6" i="13"/>
  <c r="Z6" i="13"/>
  <c r="U11" i="13"/>
  <c r="U18" i="13"/>
  <c r="K16" i="13"/>
  <c r="U7" i="13"/>
  <c r="X5" i="13"/>
  <c r="R19" i="13"/>
  <c r="Z20" i="13"/>
  <c r="X10" i="13"/>
  <c r="Z15" i="13"/>
  <c r="Z12" i="13"/>
  <c r="U9" i="13"/>
  <c r="K25" i="13"/>
  <c r="R25" i="13"/>
  <c r="U20" i="13"/>
  <c r="R20" i="13"/>
  <c r="Z4" i="13"/>
  <c r="R4" i="13"/>
  <c r="Z10" i="13"/>
  <c r="Z22" i="13"/>
  <c r="K22" i="13"/>
  <c r="U23" i="13"/>
  <c r="K18" i="13"/>
  <c r="U17" i="13"/>
  <c r="R26" i="13"/>
  <c r="K26" i="13"/>
  <c r="H21" i="13"/>
  <c r="R9" i="13"/>
  <c r="Z21" i="13"/>
  <c r="K4" i="13"/>
  <c r="X12" i="13"/>
  <c r="X8" i="13"/>
  <c r="X20" i="13"/>
  <c r="U21" i="13"/>
  <c r="Z24" i="13"/>
  <c r="K23" i="13"/>
  <c r="Z17" i="13"/>
  <c r="U12" i="13"/>
  <c r="K7" i="13"/>
  <c r="X4" i="13"/>
  <c r="X18" i="13"/>
  <c r="X19" i="13"/>
  <c r="Z23" i="13"/>
  <c r="Z16" i="13"/>
  <c r="Z26" i="13"/>
  <c r="X9" i="13"/>
  <c r="K20" i="13"/>
  <c r="K9" i="13"/>
  <c r="X25" i="13"/>
  <c r="Z8" i="13"/>
  <c r="U8" i="13"/>
  <c r="U3" i="13"/>
  <c r="X24" i="13"/>
  <c r="U4" i="13"/>
  <c r="R10" i="13"/>
  <c r="X15" i="13"/>
  <c r="X13" i="13"/>
  <c r="K13" i="13"/>
  <c r="U5" i="13"/>
  <c r="Z5" i="13"/>
  <c r="R16" i="13"/>
  <c r="R22" i="13"/>
  <c r="R8" i="13"/>
  <c r="R15" i="13"/>
  <c r="Z9" i="13"/>
  <c r="X14" i="13"/>
  <c r="K14" i="13"/>
  <c r="Z25" i="13"/>
  <c r="K8" i="13"/>
  <c r="R24" i="13"/>
  <c r="X22" i="13"/>
  <c r="K15" i="13"/>
  <c r="R13" i="13"/>
  <c r="R6" i="13"/>
  <c r="K6" i="13"/>
  <c r="R11" i="13"/>
  <c r="X23" i="13"/>
  <c r="R18" i="13"/>
  <c r="X17" i="13"/>
  <c r="Z19" i="13"/>
  <c r="K21" i="13"/>
  <c r="Y19" i="13"/>
  <c r="V4" i="13"/>
  <c r="V16" i="13"/>
  <c r="S9" i="13"/>
  <c r="S17" i="13"/>
  <c r="V9" i="13"/>
  <c r="S24" i="13"/>
  <c r="S20" i="13"/>
  <c r="Y9" i="13"/>
  <c r="V24" i="13"/>
  <c r="Y10" i="13"/>
  <c r="V10" i="13"/>
  <c r="V22" i="13"/>
  <c r="Y23" i="13"/>
  <c r="V17" i="13"/>
  <c r="H25" i="13"/>
  <c r="M8" i="13"/>
  <c r="M21" i="13"/>
  <c r="S15" i="13"/>
  <c r="S13" i="13"/>
  <c r="H6" i="13"/>
  <c r="J12" i="13"/>
  <c r="M7" i="13"/>
  <c r="Y24" i="13"/>
  <c r="V25" i="13"/>
  <c r="V7" i="13"/>
  <c r="M9" i="13"/>
  <c r="V14" i="13"/>
  <c r="M4" i="13"/>
  <c r="H4" i="13"/>
  <c r="H10" i="13"/>
  <c r="H13" i="13"/>
  <c r="H11" i="13"/>
  <c r="S18" i="13"/>
  <c r="S16" i="13"/>
  <c r="H26" i="13"/>
  <c r="Y20" i="13"/>
  <c r="V8" i="13"/>
  <c r="Y4" i="13"/>
  <c r="Y21" i="13"/>
  <c r="Y22" i="13"/>
  <c r="Y6" i="13"/>
  <c r="Y5" i="13"/>
  <c r="Y17" i="13"/>
  <c r="Y12" i="13"/>
  <c r="Y26" i="13"/>
  <c r="Y14" i="13"/>
  <c r="S8" i="13"/>
  <c r="V20" i="13"/>
  <c r="S4" i="13"/>
  <c r="Y3" i="13"/>
  <c r="M22" i="13"/>
  <c r="M13" i="13"/>
  <c r="J13" i="13"/>
  <c r="S11" i="13"/>
  <c r="J23" i="13"/>
  <c r="V5" i="13"/>
  <c r="Y18" i="13"/>
  <c r="J21" i="13"/>
  <c r="X16" i="13"/>
  <c r="R12" i="13"/>
  <c r="S12" i="13"/>
  <c r="S26" i="13"/>
  <c r="M19" i="13"/>
  <c r="V19" i="13"/>
  <c r="X7" i="13"/>
  <c r="X21" i="13"/>
  <c r="Y25" i="13"/>
  <c r="Y8" i="13"/>
  <c r="Y7" i="13"/>
  <c r="S25" i="13"/>
  <c r="S10" i="13"/>
  <c r="V15" i="13"/>
  <c r="M15" i="13"/>
  <c r="V13" i="13"/>
  <c r="V6" i="13"/>
  <c r="X11" i="13"/>
  <c r="V11" i="13"/>
  <c r="V23" i="13"/>
  <c r="S5" i="13"/>
  <c r="R5" i="13"/>
  <c r="V18" i="13"/>
  <c r="J3" i="13"/>
  <c r="X26" i="13"/>
  <c r="Y13" i="13"/>
  <c r="Y11" i="13"/>
  <c r="Y16" i="13"/>
  <c r="V21" i="13"/>
  <c r="V12" i="13"/>
  <c r="V26" i="13"/>
  <c r="G24" i="13"/>
  <c r="P19" i="13"/>
  <c r="P17" i="13"/>
  <c r="P26" i="13"/>
  <c r="P21" i="13"/>
  <c r="P3" i="13"/>
  <c r="P7" i="13"/>
  <c r="G11" i="13"/>
  <c r="G5" i="13"/>
  <c r="G4" i="13"/>
  <c r="F9" i="13"/>
  <c r="G3" i="13"/>
  <c r="G15" i="13"/>
  <c r="G13" i="13"/>
  <c r="G17" i="13"/>
  <c r="G25" i="13"/>
  <c r="G22" i="13"/>
  <c r="G6" i="13"/>
  <c r="G14" i="13"/>
  <c r="G12" i="13"/>
  <c r="F16" i="13"/>
  <c r="G10" i="13"/>
  <c r="G19" i="13"/>
  <c r="G9" i="13"/>
  <c r="G8" i="13"/>
  <c r="G20" i="13"/>
  <c r="G23" i="13"/>
  <c r="G26" i="13"/>
  <c r="F7" i="13"/>
  <c r="F10" i="13"/>
  <c r="G18" i="13"/>
  <c r="G16" i="13"/>
  <c r="F24" i="13"/>
  <c r="F6" i="13"/>
  <c r="F4" i="13"/>
  <c r="F23" i="13"/>
  <c r="F18" i="13"/>
  <c r="F14" i="13"/>
  <c r="F25" i="13"/>
  <c r="F12" i="13"/>
  <c r="F22" i="13"/>
  <c r="F15" i="13"/>
  <c r="F13" i="13"/>
  <c r="F5" i="13"/>
  <c r="F8" i="13"/>
  <c r="F20" i="13"/>
  <c r="F11" i="13"/>
  <c r="F26" i="13"/>
  <c r="F17" i="13"/>
  <c r="F19" i="13"/>
  <c r="T15" i="13"/>
  <c r="T10" i="13"/>
  <c r="T16" i="13"/>
  <c r="T13" i="13"/>
  <c r="T25" i="13"/>
  <c r="T8" i="13"/>
  <c r="T4" i="13"/>
  <c r="T22" i="13"/>
  <c r="T9" i="13"/>
  <c r="T14" i="13"/>
  <c r="T20" i="13"/>
  <c r="F21" i="13"/>
  <c r="T21" i="13"/>
  <c r="T24" i="13"/>
  <c r="T23" i="13"/>
  <c r="W20" i="13"/>
  <c r="T6" i="13"/>
  <c r="W11" i="13"/>
  <c r="T11" i="13"/>
  <c r="T7" i="13"/>
  <c r="T5" i="13"/>
  <c r="T19" i="13"/>
  <c r="W5" i="13"/>
  <c r="AD2" i="13"/>
  <c r="W8" i="13"/>
  <c r="W21" i="13"/>
  <c r="W26" i="13"/>
  <c r="W9" i="13"/>
  <c r="W24" i="13"/>
  <c r="W25" i="13"/>
  <c r="W4" i="13"/>
  <c r="W6" i="13"/>
  <c r="W17" i="13"/>
  <c r="W16" i="13"/>
  <c r="T26" i="13"/>
  <c r="W22" i="13"/>
  <c r="W14" i="13"/>
  <c r="W3" i="13"/>
  <c r="W15" i="13"/>
  <c r="T18" i="13"/>
  <c r="T17" i="13"/>
  <c r="T12" i="13"/>
  <c r="W12" i="13"/>
  <c r="W19" i="13"/>
  <c r="W7" i="13"/>
  <c r="W10" i="13"/>
  <c r="W13" i="13"/>
  <c r="W23" i="13"/>
  <c r="B6" i="13"/>
  <c r="N4" i="13"/>
  <c r="B7" i="13"/>
  <c r="N5" i="13"/>
  <c r="D7" i="5" l="1"/>
  <c r="AT14" i="5"/>
  <c r="AT20" i="5" s="1"/>
  <c r="AT19" i="5" s="1"/>
  <c r="R32" i="4"/>
  <c r="R42" i="4" s="1"/>
  <c r="AR50" i="5" s="1"/>
  <c r="Q41" i="4"/>
  <c r="AW16" i="5"/>
  <c r="AW19" i="5"/>
  <c r="AV53" i="5"/>
  <c r="N46" i="5" s="1"/>
  <c r="AW21" i="5"/>
  <c r="AW25" i="5"/>
  <c r="AW12" i="5"/>
  <c r="AW26" i="5"/>
  <c r="I39" i="8"/>
  <c r="H42" i="4"/>
  <c r="AS41" i="5" s="1"/>
  <c r="AT41" i="5" s="1"/>
  <c r="G42" i="4"/>
  <c r="AR41" i="5" s="1"/>
  <c r="N7" i="13"/>
  <c r="B9" i="13"/>
  <c r="N6" i="13"/>
  <c r="B8" i="13"/>
  <c r="N54" i="5" l="1"/>
  <c r="P54" i="5" s="1"/>
  <c r="N53" i="5"/>
  <c r="P53" i="5" s="1"/>
  <c r="N49" i="5"/>
  <c r="P49" i="5" s="1"/>
  <c r="AT23" i="5"/>
  <c r="AT27" i="5" s="1"/>
  <c r="N51" i="5"/>
  <c r="P51" i="5" s="1"/>
  <c r="P62" i="5"/>
  <c r="N50" i="5"/>
  <c r="P50" i="5" s="1"/>
  <c r="N48" i="5"/>
  <c r="P48" i="5" s="1"/>
  <c r="P65" i="5"/>
  <c r="N52" i="5"/>
  <c r="P52" i="5" s="1"/>
  <c r="R41" i="4"/>
  <c r="S32" i="4"/>
  <c r="B10" i="13"/>
  <c r="N8" i="13"/>
  <c r="N9" i="13"/>
  <c r="B11" i="13"/>
  <c r="P55" i="5" l="1"/>
  <c r="P56" i="5" s="1"/>
  <c r="S41" i="4"/>
  <c r="AS49" i="5" s="1"/>
  <c r="AT49" i="5" s="1"/>
  <c r="S42" i="4"/>
  <c r="AS50" i="5" s="1"/>
  <c r="AT50" i="5" s="1"/>
  <c r="I47" i="8"/>
  <c r="I48" i="8" s="1"/>
  <c r="AR49" i="5"/>
  <c r="AR51" i="5" s="1"/>
  <c r="B13" i="13"/>
  <c r="N11" i="13"/>
  <c r="B12" i="13"/>
  <c r="N10" i="13"/>
  <c r="P60" i="5" l="1"/>
  <c r="P61" i="5" s="1"/>
  <c r="Q58" i="5"/>
  <c r="P59" i="5"/>
  <c r="AV55" i="5"/>
  <c r="P57" i="5"/>
  <c r="AT51" i="5"/>
  <c r="AT52" i="5" s="1"/>
  <c r="AT53" i="5" s="1"/>
  <c r="N29" i="5" s="1"/>
  <c r="N33" i="5" s="1"/>
  <c r="AS51" i="5"/>
  <c r="B14" i="13"/>
  <c r="N12" i="13"/>
  <c r="N13" i="13"/>
  <c r="B15" i="13"/>
  <c r="P58" i="5" l="1"/>
  <c r="P40" i="5"/>
  <c r="P38" i="5"/>
  <c r="N32" i="5"/>
  <c r="P32" i="5" s="1"/>
  <c r="N34" i="5"/>
  <c r="P34" i="5" s="1"/>
  <c r="N31" i="5"/>
  <c r="P31" i="5" s="1"/>
  <c r="P33" i="5"/>
  <c r="N15" i="13"/>
  <c r="B17" i="13"/>
  <c r="N14" i="13"/>
  <c r="B16" i="13"/>
  <c r="B62" i="5" l="1"/>
  <c r="P67" i="5"/>
  <c r="P35" i="5"/>
  <c r="B19" i="13"/>
  <c r="N17" i="13"/>
  <c r="AA17" i="13"/>
  <c r="N16" i="13"/>
  <c r="B18" i="13"/>
  <c r="P68" i="5" l="1"/>
  <c r="P69" i="5" s="1"/>
  <c r="AV56" i="5"/>
  <c r="AV57" i="5" s="1"/>
  <c r="AT55" i="5"/>
  <c r="P36" i="5" s="1"/>
  <c r="P37" i="5" s="1"/>
  <c r="P42" i="5" s="1"/>
  <c r="N18" i="13"/>
  <c r="B20" i="13"/>
  <c r="AA18" i="13"/>
  <c r="N19" i="13"/>
  <c r="AA19" i="13"/>
  <c r="B21" i="13"/>
  <c r="P43" i="5" l="1"/>
  <c r="P44" i="5" s="1"/>
  <c r="AH38" i="5" s="1"/>
  <c r="AT56" i="5"/>
  <c r="AT57" i="5" s="1"/>
  <c r="AA20" i="13"/>
  <c r="B22" i="13"/>
  <c r="N20" i="13"/>
  <c r="B23" i="13"/>
  <c r="AA21" i="13"/>
  <c r="N21" i="13"/>
  <c r="E12" i="5" l="1"/>
  <c r="C13" i="5"/>
  <c r="I10" i="5"/>
  <c r="DK77" i="12"/>
  <c r="DG77" i="12" s="1"/>
  <c r="B61" i="5"/>
  <c r="K55" i="5"/>
  <c r="K62" i="5"/>
  <c r="J8" i="5"/>
  <c r="K8" i="5" s="1"/>
  <c r="I25" i="5"/>
  <c r="J14" i="5"/>
  <c r="O27" i="6" s="1"/>
  <c r="I35" i="5"/>
  <c r="O3" i="9"/>
  <c r="C3" i="9" s="1"/>
  <c r="I19" i="5"/>
  <c r="O33" i="6" s="1"/>
  <c r="I38" i="5"/>
  <c r="I17" i="5"/>
  <c r="I37" i="5"/>
  <c r="I32" i="5"/>
  <c r="I48" i="5"/>
  <c r="N8" i="7" s="1"/>
  <c r="I36" i="5"/>
  <c r="I45" i="5"/>
  <c r="N5" i="7" s="1"/>
  <c r="J49" i="5"/>
  <c r="I33" i="5"/>
  <c r="J48" i="5"/>
  <c r="J45" i="5"/>
  <c r="AG43" i="5"/>
  <c r="I39" i="5"/>
  <c r="I49" i="5"/>
  <c r="N9" i="7" s="1"/>
  <c r="I47" i="5"/>
  <c r="N7" i="7" s="1"/>
  <c r="J47" i="5"/>
  <c r="I44" i="5"/>
  <c r="AH37" i="5"/>
  <c r="D3" i="5" s="1"/>
  <c r="I34" i="5"/>
  <c r="J46" i="5"/>
  <c r="I46" i="5"/>
  <c r="N6" i="7" s="1"/>
  <c r="I31" i="5"/>
  <c r="I12" i="5"/>
  <c r="I11" i="5"/>
  <c r="J41" i="5"/>
  <c r="O56" i="6" s="1"/>
  <c r="I41" i="5"/>
  <c r="N56" i="6" s="1"/>
  <c r="I42" i="5"/>
  <c r="N58" i="6" s="1"/>
  <c r="J42" i="5"/>
  <c r="K42" i="5" s="1"/>
  <c r="I50" i="5"/>
  <c r="I51" i="5"/>
  <c r="N11" i="7" s="1"/>
  <c r="J50" i="5"/>
  <c r="J51" i="5"/>
  <c r="P17" i="7"/>
  <c r="AA23" i="13"/>
  <c r="B25" i="13"/>
  <c r="N23" i="13"/>
  <c r="B24" i="13"/>
  <c r="N22" i="13"/>
  <c r="AA22" i="13"/>
  <c r="F13" i="5" l="1"/>
  <c r="N10" i="7"/>
  <c r="I52" i="5"/>
  <c r="N12" i="7" s="1"/>
  <c r="J21" i="5"/>
  <c r="B21" i="5" s="1"/>
  <c r="O38" i="6"/>
  <c r="J10" i="5"/>
  <c r="O26" i="6" s="1"/>
  <c r="O29" i="6" s="1"/>
  <c r="I58" i="5"/>
  <c r="J58" i="5"/>
  <c r="H58" i="5"/>
  <c r="G58" i="5"/>
  <c r="P8" i="7"/>
  <c r="O8" i="7"/>
  <c r="O31" i="6"/>
  <c r="J16" i="5"/>
  <c r="O34" i="6" s="1"/>
  <c r="P29" i="6"/>
  <c r="O9" i="7"/>
  <c r="P9" i="7"/>
  <c r="N53" i="6"/>
  <c r="J38" i="5"/>
  <c r="O53" i="6" s="1"/>
  <c r="J39" i="5"/>
  <c r="O54" i="6" s="1"/>
  <c r="N54" i="6"/>
  <c r="N52" i="6"/>
  <c r="J37" i="5"/>
  <c r="O52" i="6" s="1"/>
  <c r="P15" i="7"/>
  <c r="P6" i="7"/>
  <c r="O6" i="7"/>
  <c r="B59" i="5"/>
  <c r="E57" i="5"/>
  <c r="H59" i="5"/>
  <c r="E58" i="5"/>
  <c r="H57" i="5"/>
  <c r="E59" i="5"/>
  <c r="G59" i="5"/>
  <c r="B57" i="5"/>
  <c r="J59" i="5"/>
  <c r="I59" i="5"/>
  <c r="B58" i="5"/>
  <c r="I57" i="5"/>
  <c r="B60" i="5"/>
  <c r="E60" i="5"/>
  <c r="G57" i="5"/>
  <c r="J57" i="5"/>
  <c r="D59" i="5"/>
  <c r="D60" i="5"/>
  <c r="D57" i="5"/>
  <c r="D58" i="5"/>
  <c r="F60" i="5"/>
  <c r="F58" i="5"/>
  <c r="F59" i="5"/>
  <c r="F57" i="5"/>
  <c r="N51" i="6"/>
  <c r="J36" i="5"/>
  <c r="O51" i="6" s="1"/>
  <c r="O58" i="6"/>
  <c r="P58" i="6"/>
  <c r="J34" i="5"/>
  <c r="O49" i="6" s="1"/>
  <c r="N49" i="6"/>
  <c r="O5" i="7"/>
  <c r="J35" i="5"/>
  <c r="O50" i="6" s="1"/>
  <c r="N50" i="6"/>
  <c r="J33" i="5"/>
  <c r="O48" i="6" s="1"/>
  <c r="N48" i="6"/>
  <c r="P11" i="7"/>
  <c r="O11" i="7"/>
  <c r="B18" i="6"/>
  <c r="B6" i="8"/>
  <c r="K51" i="12"/>
  <c r="K50" i="12"/>
  <c r="J32" i="5"/>
  <c r="O47" i="6" s="1"/>
  <c r="N47" i="6"/>
  <c r="K49" i="1"/>
  <c r="P7" i="7"/>
  <c r="O7" i="7"/>
  <c r="N46" i="6"/>
  <c r="I40" i="5"/>
  <c r="J31" i="5"/>
  <c r="O10" i="7"/>
  <c r="P10" i="7"/>
  <c r="J44" i="5"/>
  <c r="K43" i="5" s="1"/>
  <c r="N4" i="7"/>
  <c r="N24" i="13"/>
  <c r="AA24" i="13"/>
  <c r="B26" i="13"/>
  <c r="AA25" i="13"/>
  <c r="N25" i="13"/>
  <c r="O39" i="6" l="1"/>
  <c r="J52" i="5"/>
  <c r="O12" i="7" s="1"/>
  <c r="P5" i="7"/>
  <c r="K20" i="5"/>
  <c r="K21" i="5" s="1"/>
  <c r="O46" i="6"/>
  <c r="J40" i="5"/>
  <c r="O4" i="7"/>
  <c r="N55" i="6"/>
  <c r="I38" i="8"/>
  <c r="N57" i="6"/>
  <c r="N26" i="13"/>
  <c r="AA26" i="13"/>
  <c r="K31" i="5" l="1"/>
  <c r="K53" i="5" s="1"/>
  <c r="K26" i="5"/>
  <c r="K29" i="5"/>
  <c r="K16" i="5"/>
  <c r="P34" i="6" s="1"/>
  <c r="P35" i="6"/>
  <c r="O55" i="6"/>
  <c r="P4" i="7"/>
  <c r="P12" i="7"/>
  <c r="K54" i="5" l="1"/>
  <c r="P43" i="6"/>
  <c r="O57" i="6"/>
  <c r="BL77" i="12" l="1"/>
  <c r="BN77" i="12" s="1"/>
  <c r="CK77" i="12"/>
  <c r="Q77" i="12"/>
  <c r="R77" i="12" s="1"/>
  <c r="AN77" i="12"/>
  <c r="K61" i="5"/>
  <c r="P57" i="6"/>
  <c r="BU77" i="12" l="1"/>
  <c r="BM77" i="12"/>
  <c r="BV77" i="12"/>
  <c r="BX77" i="12"/>
  <c r="BO77" i="12"/>
  <c r="BS77" i="12" s="1"/>
  <c r="BW77" i="12"/>
  <c r="BP77" i="12"/>
  <c r="CB77" i="12" s="1"/>
  <c r="CT77" i="12"/>
  <c r="CM77" i="12"/>
  <c r="CV77" i="12"/>
  <c r="CO77" i="12"/>
  <c r="DA77" i="12" s="1"/>
  <c r="CN77" i="12"/>
  <c r="CW77" i="12"/>
  <c r="CL77" i="12"/>
  <c r="CP77" i="12" s="1"/>
  <c r="CU77" i="12"/>
  <c r="BQ77" i="12"/>
  <c r="BR77" i="12"/>
  <c r="BZ77" i="12" s="1"/>
  <c r="AO77" i="12"/>
  <c r="AR77" i="12" s="1"/>
  <c r="AV77" i="12" s="1"/>
  <c r="AZ77" i="12"/>
  <c r="AX77" i="12"/>
  <c r="AW77" i="12"/>
  <c r="AY77" i="12"/>
  <c r="U77" i="12"/>
  <c r="V77" i="12"/>
  <c r="Y77" i="12" s="1"/>
  <c r="S77" i="12"/>
  <c r="T77" i="12"/>
  <c r="AB77" i="12"/>
  <c r="Z77" i="12"/>
  <c r="AC77" i="12"/>
  <c r="AA77" i="12"/>
  <c r="P13" i="7"/>
  <c r="CD77" i="12" l="1"/>
  <c r="BY77" i="12"/>
  <c r="CC77" i="12" s="1"/>
  <c r="CA77" i="12"/>
  <c r="CE77" i="12" s="1"/>
  <c r="CF77" i="12"/>
  <c r="CR77" i="12"/>
  <c r="CZ77" i="12" s="1"/>
  <c r="DD77" i="12" s="1"/>
  <c r="CQ77" i="12"/>
  <c r="CY77" i="12" s="1"/>
  <c r="DC77" i="12" s="1"/>
  <c r="DE77" i="12"/>
  <c r="CX77" i="12"/>
  <c r="DB77" i="12" s="1"/>
  <c r="BD77" i="12"/>
  <c r="BH77" i="12" s="1"/>
  <c r="AS77" i="12"/>
  <c r="BA77" i="12" s="1"/>
  <c r="BE77" i="12" s="1"/>
  <c r="AQ77" i="12"/>
  <c r="AU77" i="12" s="1"/>
  <c r="AP77" i="12"/>
  <c r="AT77" i="12" s="1"/>
  <c r="AD77" i="12"/>
  <c r="AH77" i="12" s="1"/>
  <c r="W77" i="12"/>
  <c r="AE77" i="12" s="1"/>
  <c r="AI77" i="12" s="1"/>
  <c r="X77" i="12"/>
  <c r="AF77" i="12" s="1"/>
  <c r="AJ77" i="12" s="1"/>
  <c r="AG77" i="12"/>
  <c r="AK77" i="12" s="1"/>
  <c r="K63" i="5"/>
  <c r="P14" i="7"/>
  <c r="I49" i="12"/>
  <c r="I47" i="12" s="1"/>
  <c r="K26" i="14" s="1"/>
  <c r="DH77" i="12" l="1"/>
  <c r="BB77" i="12"/>
  <c r="BF77" i="12" s="1"/>
  <c r="DI77" i="12" s="1"/>
  <c r="BC77" i="12"/>
  <c r="BG77" i="12" s="1"/>
  <c r="P16" i="7"/>
  <c r="K64" i="5"/>
  <c r="K31" i="14"/>
  <c r="M31" i="14" s="1"/>
  <c r="K29" i="14"/>
  <c r="M29" i="14" s="1"/>
  <c r="K28" i="14"/>
  <c r="M28" i="14" s="1"/>
  <c r="P26" i="14"/>
  <c r="K32" i="14"/>
  <c r="M32" i="14" s="1"/>
  <c r="K34" i="14"/>
  <c r="M34" i="14" s="1"/>
  <c r="K30" i="14"/>
  <c r="M30" i="14" s="1"/>
  <c r="AX76" i="12"/>
  <c r="AZ76" i="12"/>
  <c r="AQ76" i="12"/>
  <c r="AY76" i="12"/>
  <c r="AR76" i="12"/>
  <c r="AW76" i="12"/>
  <c r="AO76" i="12"/>
  <c r="AP76" i="12"/>
  <c r="BW76" i="12"/>
  <c r="BX76" i="12"/>
  <c r="BM76" i="12"/>
  <c r="BO76" i="12"/>
  <c r="BS76" i="12" s="1"/>
  <c r="BU76" i="12"/>
  <c r="BN76" i="12"/>
  <c r="BR76" i="12" s="1"/>
  <c r="BP76" i="12"/>
  <c r="CB76" i="12" s="1"/>
  <c r="BV76" i="12"/>
  <c r="CN76" i="12"/>
  <c r="CL76" i="12"/>
  <c r="CP76" i="12" s="1"/>
  <c r="CM76" i="12"/>
  <c r="CQ76" i="12" s="1"/>
  <c r="CW76" i="12"/>
  <c r="CT76" i="12"/>
  <c r="CV76" i="12"/>
  <c r="CO76" i="12"/>
  <c r="DA76" i="12" s="1"/>
  <c r="CU76" i="12"/>
  <c r="S76" i="12"/>
  <c r="Z76" i="12"/>
  <c r="AC76" i="12"/>
  <c r="R76" i="12"/>
  <c r="V76" i="12" s="1"/>
  <c r="T76" i="12"/>
  <c r="AB76" i="12"/>
  <c r="AA76" i="12"/>
  <c r="U76" i="12"/>
  <c r="Y76" i="12" s="1"/>
  <c r="CA76" i="12" l="1"/>
  <c r="CE76" i="12" s="1"/>
  <c r="CF76" i="12"/>
  <c r="BZ76" i="12"/>
  <c r="CD76" i="12" s="1"/>
  <c r="AG76" i="12"/>
  <c r="AK76" i="12" s="1"/>
  <c r="AV76" i="12"/>
  <c r="BD76" i="12" s="1"/>
  <c r="BH76" i="12" s="1"/>
  <c r="AD76" i="12"/>
  <c r="AH76" i="12" s="1"/>
  <c r="CR76" i="12"/>
  <c r="CZ76" i="12" s="1"/>
  <c r="DD76" i="12" s="1"/>
  <c r="AU76" i="12"/>
  <c r="BC76" i="12" s="1"/>
  <c r="BG76" i="12" s="1"/>
  <c r="P29" i="14"/>
  <c r="R29" i="14" s="1"/>
  <c r="P31" i="14"/>
  <c r="R31" i="14" s="1"/>
  <c r="P28" i="14"/>
  <c r="R28" i="14" s="1"/>
  <c r="P30" i="14"/>
  <c r="R30" i="14" s="1"/>
  <c r="W76" i="12"/>
  <c r="AE76" i="12" s="1"/>
  <c r="AI76" i="12" s="1"/>
  <c r="P18" i="7"/>
  <c r="P19" i="7" s="1"/>
  <c r="X76" i="12"/>
  <c r="AF76" i="12" s="1"/>
  <c r="AJ76" i="12" s="1"/>
  <c r="DE76" i="12"/>
  <c r="M35" i="14"/>
  <c r="K36" i="14" s="1"/>
  <c r="AS76" i="12"/>
  <c r="BA76" i="12" s="1"/>
  <c r="BE76" i="12" s="1"/>
  <c r="BQ76" i="12"/>
  <c r="BY76" i="12" s="1"/>
  <c r="CC76" i="12" s="1"/>
  <c r="CY76" i="12"/>
  <c r="DC76" i="12" s="1"/>
  <c r="CX76" i="12"/>
  <c r="DB76" i="12" s="1"/>
  <c r="AT76" i="12"/>
  <c r="BB76" i="12" s="1"/>
  <c r="BF76" i="12" s="1"/>
  <c r="DI76" i="12" l="1"/>
  <c r="H76" i="12" s="1"/>
  <c r="H77" i="12" s="1"/>
  <c r="DH76" i="12"/>
  <c r="G76" i="12" s="1"/>
  <c r="G77" i="12" s="1"/>
  <c r="I50" i="12"/>
  <c r="M36" i="14"/>
  <c r="M37" i="14" s="1"/>
  <c r="R32" i="14"/>
  <c r="P33" i="14" s="1"/>
  <c r="I76" i="12" l="1"/>
  <c r="I77" i="12" s="1"/>
  <c r="I54" i="12" s="1"/>
  <c r="R33" i="14"/>
  <c r="R34" i="14" s="1"/>
  <c r="I51" i="12" s="1"/>
  <c r="I52" i="12" s="1"/>
  <c r="I56" i="12" s="1"/>
  <c r="K65" i="5" s="1"/>
  <c r="P20" i="7" l="1"/>
  <c r="K70" i="5"/>
  <c r="P24" i="7" s="1"/>
  <c r="P21" i="7"/>
  <c r="DH16" i="11" s="1"/>
  <c r="DG16" i="11" s="1"/>
  <c r="A16" i="11" s="1"/>
  <c r="C16" i="11" s="1"/>
  <c r="D16" i="11" s="1"/>
  <c r="O16" i="11" s="1"/>
  <c r="F48" i="1"/>
  <c r="I48" i="1" s="1"/>
  <c r="G16" i="11" l="1"/>
  <c r="H16" i="11"/>
  <c r="AL43" i="1"/>
  <c r="AN43" i="1" s="1"/>
  <c r="AL41" i="1"/>
  <c r="AN41" i="1" s="1"/>
  <c r="AL50" i="1"/>
  <c r="AN50" i="1" s="1"/>
  <c r="AL45" i="1"/>
  <c r="AN45" i="1" s="1"/>
  <c r="AL40" i="1"/>
  <c r="AN40" i="1" s="1"/>
  <c r="AL48" i="1"/>
  <c r="AN48" i="1" s="1"/>
  <c r="AK48" i="1"/>
  <c r="AK45" i="1"/>
  <c r="AK49" i="1"/>
  <c r="AL44" i="1"/>
  <c r="AN44" i="1" s="1"/>
  <c r="AK42" i="1"/>
  <c r="F47" i="1"/>
  <c r="AK41" i="1"/>
  <c r="AL47" i="1"/>
  <c r="AN47" i="1" s="1"/>
  <c r="AL49" i="1"/>
  <c r="AN49" i="1" s="1"/>
  <c r="AK46" i="1"/>
  <c r="AK40" i="1"/>
  <c r="AL42" i="1"/>
  <c r="AN42" i="1" s="1"/>
  <c r="AK43" i="1"/>
  <c r="AK44" i="1"/>
  <c r="AL46" i="1"/>
  <c r="AN46" i="1" s="1"/>
  <c r="AK47" i="1"/>
  <c r="AK50" i="1"/>
  <c r="E16" i="11"/>
  <c r="I16" i="11" s="1"/>
  <c r="N16" i="11"/>
  <c r="F16" i="11" l="1"/>
  <c r="L16" i="11" s="1"/>
  <c r="P16" i="11"/>
  <c r="F36" i="1"/>
  <c r="AM40" i="1"/>
  <c r="AM47" i="1"/>
  <c r="F43" i="1"/>
  <c r="F41" i="1"/>
  <c r="AM45" i="1"/>
  <c r="F46" i="1"/>
  <c r="AM50" i="1"/>
  <c r="F37" i="1"/>
  <c r="AM41" i="1"/>
  <c r="F45" i="1"/>
  <c r="AM49" i="1"/>
  <c r="F42" i="1"/>
  <c r="AM46" i="1"/>
  <c r="F38" i="1"/>
  <c r="AM42" i="1"/>
  <c r="AM43" i="1"/>
  <c r="F39" i="1"/>
  <c r="AM48" i="1"/>
  <c r="F44" i="1"/>
  <c r="F40" i="1"/>
  <c r="AM44" i="1"/>
  <c r="J16" i="11" l="1"/>
  <c r="K16" i="11"/>
  <c r="M16" i="11" s="1"/>
  <c r="Q16" i="11" l="1"/>
  <c r="B16" i="11" s="1"/>
  <c r="B44" i="7" s="1"/>
</calcChain>
</file>

<file path=xl/comments1.xml><?xml version="1.0" encoding="utf-8"?>
<comments xmlns="http://schemas.openxmlformats.org/spreadsheetml/2006/main" xmlns:mc="http://schemas.openxmlformats.org/markup-compatibility/2006" xmlns:xr="http://schemas.microsoft.com/office/spreadsheetml/2014/revision" mc:Ignorable="xr">
  <authors>
    <author>vijayakumar kota</author>
  </authors>
  <commentList>
    <comment ref="E4" authorId="0" shapeId="0" xr:uid="{4A69EABA-053D-4F40-B356-1CA4E2A8EEE7}">
      <text>
        <r>
          <rPr>
            <b/>
            <sz val="9"/>
            <color indexed="81"/>
            <rFont val="Tahoma"/>
            <family val="2"/>
          </rPr>
          <t>day</t>
        </r>
      </text>
    </comment>
    <comment ref="F4" authorId="0" shapeId="0" xr:uid="{A3FC6C6E-0097-4522-B96F-397D99B2BD39}">
      <text>
        <r>
          <rPr>
            <b/>
            <sz val="9"/>
            <color indexed="81"/>
            <rFont val="Tahoma"/>
            <family val="2"/>
          </rPr>
          <t>month</t>
        </r>
      </text>
    </comment>
    <comment ref="G4" authorId="0" shapeId="0" xr:uid="{65B69D94-FB29-46A4-8A0D-CD70686CBE6D}">
      <text>
        <r>
          <rPr>
            <b/>
            <sz val="9"/>
            <color indexed="81"/>
            <rFont val="Tahoma"/>
            <family val="2"/>
          </rPr>
          <t>year</t>
        </r>
      </text>
    </comment>
    <comment ref="M12" authorId="0" shapeId="0" xr:uid="{453DC0E9-9FF7-4B53-A0D3-7081CE0893A8}">
      <text>
        <r>
          <rPr>
            <b/>
            <sz val="9"/>
            <color indexed="81"/>
            <rFont val="Tahoma"/>
            <family val="2"/>
          </rPr>
          <t>disability%</t>
        </r>
      </text>
    </comment>
    <comment ref="N13" authorId="0" shapeId="0" xr:uid="{2CD7B0D9-3929-48AD-9EC9-05F618FD90FA}">
      <text>
        <r>
          <rPr>
            <b/>
            <sz val="7"/>
            <color indexed="81"/>
            <rFont val="Arial Narrow"/>
            <family val="2"/>
          </rPr>
          <t>ENTER DATE IN CELL AS &gt;&gt;DD.MM.YYYY (dot)</t>
        </r>
      </text>
    </comment>
  </commentList>
</comments>
</file>

<file path=xl/sharedStrings.xml><?xml version="1.0" encoding="utf-8"?>
<sst xmlns="http://schemas.openxmlformats.org/spreadsheetml/2006/main" count="2338" uniqueCount="1131">
  <si>
    <t>DDO NAME</t>
  </si>
  <si>
    <t>DDO DESIGN</t>
  </si>
  <si>
    <t>TAN NO</t>
  </si>
  <si>
    <t>DDO PAN</t>
  </si>
  <si>
    <t>DDO OFFICE</t>
  </si>
  <si>
    <t>FIXATION TYPE</t>
  </si>
  <si>
    <t>PHC</t>
  </si>
  <si>
    <t>No</t>
  </si>
  <si>
    <t>GIS</t>
  </si>
  <si>
    <t>Yes</t>
  </si>
  <si>
    <t>EHS</t>
  </si>
  <si>
    <t>LIC</t>
  </si>
  <si>
    <t>EWF</t>
  </si>
  <si>
    <t>SWF</t>
  </si>
  <si>
    <t>period</t>
  </si>
  <si>
    <t>GPF</t>
  </si>
  <si>
    <t>CPS</t>
  </si>
  <si>
    <t>Period</t>
  </si>
  <si>
    <t>Deductions</t>
  </si>
  <si>
    <t>N/A</t>
  </si>
  <si>
    <t>Other Income Details</t>
  </si>
  <si>
    <t>Interest on NSC bonds &amp; Bank deposits</t>
  </si>
  <si>
    <t>Income form other sources</t>
  </si>
  <si>
    <t>Pays</t>
  </si>
  <si>
    <t>Scale of Pay</t>
  </si>
  <si>
    <t>INC-1</t>
  </si>
  <si>
    <t>INC-2</t>
  </si>
  <si>
    <t>INC-3</t>
  </si>
  <si>
    <t>INC-4</t>
  </si>
  <si>
    <t>AAS</t>
  </si>
  <si>
    <t>PRO</t>
  </si>
  <si>
    <t>S/L-1</t>
  </si>
  <si>
    <t>S/L-2</t>
  </si>
  <si>
    <t>S/L-3</t>
  </si>
  <si>
    <t>S/L-4</t>
  </si>
  <si>
    <t>Jan</t>
  </si>
  <si>
    <t>Feb</t>
  </si>
  <si>
    <t>Mar</t>
  </si>
  <si>
    <t>Apr</t>
  </si>
  <si>
    <t>May</t>
  </si>
  <si>
    <t>Jun</t>
  </si>
  <si>
    <t>Jul</t>
  </si>
  <si>
    <t>Aug</t>
  </si>
  <si>
    <t>Sep</t>
  </si>
  <si>
    <t>Oct</t>
  </si>
  <si>
    <t>Nov</t>
  </si>
  <si>
    <t>Dec</t>
  </si>
  <si>
    <t>NA</t>
  </si>
  <si>
    <t>Pro.date</t>
  </si>
  <si>
    <t>Increment date</t>
  </si>
  <si>
    <t>Intial Fixation</t>
  </si>
  <si>
    <t>FY</t>
  </si>
  <si>
    <t>AY</t>
  </si>
  <si>
    <t>UP TO</t>
  </si>
  <si>
    <t>FROM</t>
  </si>
  <si>
    <t>TO</t>
  </si>
  <si>
    <t>AAS date</t>
  </si>
  <si>
    <t>Pro date</t>
  </si>
  <si>
    <t>Dd</t>
  </si>
  <si>
    <t>mm</t>
  </si>
  <si>
    <t>yy</t>
  </si>
  <si>
    <t>INCR</t>
  </si>
  <si>
    <t>MIN</t>
  </si>
  <si>
    <t>PRO DATE</t>
  </si>
  <si>
    <t>For final increment dates</t>
  </si>
  <si>
    <t>final incr</t>
  </si>
  <si>
    <t>Text</t>
  </si>
  <si>
    <t>HRA</t>
  </si>
  <si>
    <t>B.PAY AS ON</t>
  </si>
  <si>
    <t>total upto above</t>
  </si>
  <si>
    <t>PF1</t>
  </si>
  <si>
    <t>T.days</t>
  </si>
  <si>
    <t>W.Days</t>
  </si>
  <si>
    <t>PF2</t>
  </si>
  <si>
    <t>CPS -1</t>
  </si>
  <si>
    <t>CPS-2</t>
  </si>
  <si>
    <t>PF-3</t>
  </si>
  <si>
    <t>CPS-3</t>
  </si>
  <si>
    <t>PF</t>
  </si>
  <si>
    <t>IR</t>
  </si>
  <si>
    <t>From</t>
  </si>
  <si>
    <t>to</t>
  </si>
  <si>
    <t>CCA</t>
  </si>
  <si>
    <t>AHRA</t>
  </si>
  <si>
    <t>SCA</t>
  </si>
  <si>
    <t>Others</t>
  </si>
  <si>
    <t>HRA Limit</t>
  </si>
  <si>
    <t>Mandal HQ</t>
  </si>
  <si>
    <t>Non Mandal</t>
  </si>
  <si>
    <t>Hills/Hill Top</t>
  </si>
  <si>
    <t>0 Day</t>
  </si>
  <si>
    <t>½ Day</t>
  </si>
  <si>
    <t>1 day</t>
  </si>
  <si>
    <t>2 day</t>
  </si>
  <si>
    <t xml:space="preserve"> DATE</t>
  </si>
  <si>
    <t>change date</t>
  </si>
  <si>
    <t>raise</t>
  </si>
  <si>
    <t>w.days</t>
  </si>
  <si>
    <t>B.PAY</t>
  </si>
  <si>
    <t>DA</t>
  </si>
  <si>
    <t>Final B,pay</t>
  </si>
  <si>
    <t>DA%</t>
  </si>
  <si>
    <t>HRA%</t>
  </si>
  <si>
    <t>Actual b.pay</t>
  </si>
  <si>
    <t>S/L</t>
  </si>
  <si>
    <t>TOTAL</t>
  </si>
  <si>
    <t>CMRF</t>
  </si>
  <si>
    <t>CMRF-1</t>
  </si>
  <si>
    <t>CMRF-2</t>
  </si>
  <si>
    <t>S.No</t>
  </si>
  <si>
    <t>Basic Pay</t>
  </si>
  <si>
    <t>To</t>
  </si>
  <si>
    <t>P.TAX</t>
  </si>
  <si>
    <t>Total</t>
  </si>
  <si>
    <t>NET</t>
  </si>
  <si>
    <t>D.A%</t>
  </si>
  <si>
    <t>Final order</t>
  </si>
  <si>
    <t>Due to</t>
  </si>
  <si>
    <t>Rupees</t>
  </si>
  <si>
    <t>PLI Annual Premuim</t>
  </si>
  <si>
    <t>Repayment of Home Loan Premium (principal component)</t>
  </si>
  <si>
    <t>SBI Life insurance</t>
  </si>
  <si>
    <t>5 Years Fixed Deposits (or)above</t>
  </si>
  <si>
    <t>LIC / UTI  etc. Pension funds-80CCC</t>
  </si>
  <si>
    <t>Any other deductable (u/s 80C)</t>
  </si>
  <si>
    <t>80E-Interest on Educational Loan</t>
  </si>
  <si>
    <t>80U-deductions for disabled Person(blind,PH)-above 40%disability</t>
  </si>
  <si>
    <t>80U-deductions for disabled Person(blind,PH)-above 80%disability</t>
  </si>
  <si>
    <t>80D-Medical Insurance Premium-Self ,Spouse &amp; Children</t>
  </si>
  <si>
    <t>80D-Medical Insurance Premium-senior citizen dependent parents</t>
  </si>
  <si>
    <t>Amount</t>
  </si>
  <si>
    <t>Rent</t>
  </si>
  <si>
    <t>80C</t>
  </si>
  <si>
    <t xml:space="preserve">Children Tution Fee </t>
  </si>
  <si>
    <t>National Savings Certificate(NSC)</t>
  </si>
  <si>
    <t>LIC Annual Premiums Paid by Hand</t>
  </si>
  <si>
    <t>Unit Linked Insurance Plan(ULIP)</t>
  </si>
  <si>
    <t>Public Provident Fund</t>
  </si>
  <si>
    <t>Equity Linked Savings Scheme(ELSS)</t>
  </si>
  <si>
    <t>Birla Sun Life insurance</t>
  </si>
  <si>
    <t>ICICI Life insurance</t>
  </si>
  <si>
    <t>HDFC Life insurance</t>
  </si>
  <si>
    <t>Reliance Life insurance</t>
  </si>
  <si>
    <t>Sukanya Samriddhi Scheme</t>
  </si>
  <si>
    <t>UTI Retirement benefit pension fund</t>
  </si>
  <si>
    <t>80CCC</t>
  </si>
  <si>
    <t>Stampduty and registration charges for a home</t>
  </si>
  <si>
    <t>MAX</t>
  </si>
  <si>
    <t>As per data</t>
  </si>
  <si>
    <t>80DD-Treatment of Handicapped Dependent-above 40%disability</t>
  </si>
  <si>
    <t>80DD-Treatment of Handicapped Dependent-above 80%disability</t>
  </si>
  <si>
    <t>80D-Medical Insurance Premium-S.Citizens</t>
  </si>
  <si>
    <t>80D-Medical Insurance Premium-Dependent Parents</t>
  </si>
  <si>
    <t xml:space="preserve">80D-Preventive Health Check up </t>
  </si>
  <si>
    <t>80DDB-Expenditure on medical treatment (age below 60)</t>
  </si>
  <si>
    <t>80DDB-Expenditure on M.treatment S.Citizen</t>
  </si>
  <si>
    <t>80DDB-Expenditure on M.treatment Very S.Citizen</t>
  </si>
  <si>
    <t>Auto Electric Vehicles Loan Interest   80EEB</t>
  </si>
  <si>
    <t>80TTA-Interest on Savings account</t>
  </si>
  <si>
    <t>80TTB-interest earned from bank deposits, post offices or  co-operative banks-senior citizens</t>
  </si>
  <si>
    <t>80G-Donation of Charitable Institution-100%</t>
  </si>
  <si>
    <t>80G-Donation on certain specified fund-100%</t>
  </si>
  <si>
    <t>80G-Payments made to Electoral Trusts-100%</t>
  </si>
  <si>
    <t>80G-Donation of Charitable Institution-50%</t>
  </si>
  <si>
    <t>80CCG-Rajiv Gandhi Equity Savings Scheme</t>
  </si>
  <si>
    <t xml:space="preserve">Financial Year </t>
  </si>
  <si>
    <t>ANNEXURE - II</t>
  </si>
  <si>
    <t>Assessment Year</t>
  </si>
  <si>
    <t>Design</t>
  </si>
  <si>
    <t>Treasury id</t>
  </si>
  <si>
    <t/>
  </si>
  <si>
    <t>2. Less: Allowance to the extent exempt U/s 10</t>
  </si>
  <si>
    <t>(b)Exemption from Conveyance Allowance U/s. 10(14) (i)</t>
  </si>
  <si>
    <t>(c) Amount of any other exemption under section 10</t>
  </si>
  <si>
    <t>3.Less: Deductions under section 16</t>
  </si>
  <si>
    <t>(a) Standard deduction under section 16(ia)</t>
  </si>
  <si>
    <t xml:space="preserve">(b) Entertainment allowance under section 16(ii) </t>
  </si>
  <si>
    <t xml:space="preserve">(c) Tax on employment under section 16(iii) </t>
  </si>
  <si>
    <t>5.House property</t>
  </si>
  <si>
    <t>i). Add:Income from house property/Rent Received</t>
  </si>
  <si>
    <t>ii) loss: Interest on Housing Loan Advance U/s 24[B]</t>
  </si>
  <si>
    <t xml:space="preserve">6. Add: Any other income reported by the employee under as per section 192 (2B) </t>
  </si>
  <si>
    <t>a)</t>
  </si>
  <si>
    <t>b)</t>
  </si>
  <si>
    <t>Gross Amount</t>
  </si>
  <si>
    <t>Qualifying Amount</t>
  </si>
  <si>
    <t>Deductible Amount</t>
  </si>
  <si>
    <t>Total deduction under section 80C, 80CCC &amp; 80CCD(1) Limit-Rs.150000/-</t>
  </si>
  <si>
    <t>Total amount deductible under other provision(s) of 
Chapter VI‐A</t>
  </si>
  <si>
    <t>Health and Education Cess@ 4%</t>
  </si>
  <si>
    <t>Details of Advance Tax Deductions in Rupees (Pay bill month wise)</t>
  </si>
  <si>
    <t>i)</t>
  </si>
  <si>
    <t>Signature of the Drawing Officer</t>
  </si>
  <si>
    <t>Sign of Employee</t>
  </si>
  <si>
    <r>
      <t>FORM NO. 16</t>
    </r>
    <r>
      <rPr>
        <sz val="14"/>
        <rFont val="Book Antiqua"/>
        <family val="1"/>
      </rPr>
      <t/>
    </r>
  </si>
  <si>
    <t>Certificate under section 203 of the Income-tax Act, 1961 for tax deducted at source on Salary</t>
  </si>
  <si>
    <t>NAME AND ADDRESS OF THE EMPLOYER</t>
  </si>
  <si>
    <t>NAME AND ADDRESS OF THE EMPLOYEE</t>
  </si>
  <si>
    <t>PAN of the Deductor</t>
  </si>
  <si>
    <t>TAN of the Deductor</t>
  </si>
  <si>
    <t>PAN of the Employee</t>
  </si>
  <si>
    <t>Employee Reference No</t>
  </si>
  <si>
    <t xml:space="preserve">Acknowledgement Nos. of all quarterly statements of TDS under sub-section 200 </t>
  </si>
  <si>
    <t>Quarter</t>
  </si>
  <si>
    <t>Acknowledgement No.</t>
  </si>
  <si>
    <t>Financial</t>
  </si>
  <si>
    <t>Assessment</t>
  </si>
  <si>
    <t>Year</t>
  </si>
  <si>
    <t>Rs</t>
  </si>
  <si>
    <t>1.  Gross Salary</t>
  </si>
  <si>
    <t>(a) Salary as per provisions contained in sec. 17(1)</t>
  </si>
  <si>
    <t>(b) Value of perquisites u/s 17(2)</t>
  </si>
  <si>
    <t>(c) Profits in lieu of salary under section 17(3)</t>
  </si>
  <si>
    <t>(d) Total</t>
  </si>
  <si>
    <t>(a) House rent allowance under section 10(13A)</t>
  </si>
  <si>
    <t>Total amount of exemption claimed under section 10</t>
  </si>
  <si>
    <t xml:space="preserve">Total amount of deductions under section 16 [(a)+(b)+(c)] </t>
  </si>
  <si>
    <t xml:space="preserve">4. Income chargeable under the head "Salaries" [1-(2+3)] </t>
  </si>
  <si>
    <t>Income (or admissible loss) from house property</t>
  </si>
  <si>
    <t>income from other sources</t>
  </si>
  <si>
    <t xml:space="preserve">7. Gross Total income (4+5+6) </t>
  </si>
  <si>
    <t xml:space="preserve">8. Deductions under Chapter VI A </t>
  </si>
  <si>
    <t xml:space="preserve">Deductible Amount </t>
  </si>
  <si>
    <t>(a) Deduction in respect of life insurance premia, contributions to
PF etc. u/s 80C</t>
  </si>
  <si>
    <t xml:space="preserve">Deductions under Chapter VI A </t>
  </si>
  <si>
    <t>Gross Amount(Rs.)</t>
  </si>
  <si>
    <t>Qualifying Amount (Rs.)</t>
  </si>
  <si>
    <t>Deductible Amount(Rs.)</t>
  </si>
  <si>
    <t>9.Aggregate of deductible amount under Chapter VI-A</t>
  </si>
  <si>
    <t>10. Total taxable income (7-9)  (Round off to nearest ten  As per U/s 288 A)</t>
  </si>
  <si>
    <t>11. Tax on total income</t>
  </si>
  <si>
    <t>12. Rebate under section 87A, if applicable</t>
  </si>
  <si>
    <t>13. Surcharge, wherever applicable</t>
  </si>
  <si>
    <t>14. Health and education cess</t>
  </si>
  <si>
    <t>15. Tax payable (11+13+14)-12)</t>
  </si>
  <si>
    <t>16. Less: Relief under section 89 (attach details)</t>
  </si>
  <si>
    <t>17. Net tax payable (15-16)</t>
  </si>
  <si>
    <t>18.Less:(a) Tax deducted at source U/s 192(1)</t>
  </si>
  <si>
    <t>(b)Tax paid by the employer on behalf of the  Employee U/S 192 (1A) on perquisited U/S 17 (2)…</t>
  </si>
  <si>
    <t>19.TAX PAYABLE / REFUNDABLE (17-18)</t>
  </si>
  <si>
    <t>I. DETAILS OF TAX DEDUCTED AND DEPOSITED IN THE CENTRAL GOVERNMENT ACCOUNT THROUGH BOOK ADJUSTMENT</t>
  </si>
  <si>
    <t>(The deductor to provide payment wise details of tax deducted and deposited with respect to the deductee)</t>
  </si>
  <si>
    <t>Quarter(s)</t>
  </si>
  <si>
    <t>Tax Deposited in  respect of the deductee (Rs. )</t>
  </si>
  <si>
    <t>Book Identification Number (BIN)</t>
  </si>
  <si>
    <t>Receipt numbers of Form No.24G</t>
  </si>
  <si>
    <t>DDO serial number in Form No.24G</t>
  </si>
  <si>
    <t>Date of transfer voucher dd/mm/yyyy</t>
  </si>
  <si>
    <t>Status of matching with Form No. 24G</t>
  </si>
  <si>
    <t>Salary month</t>
  </si>
  <si>
    <t>Tax deposited month</t>
  </si>
  <si>
    <t>Verification</t>
  </si>
  <si>
    <t>Place:</t>
  </si>
  <si>
    <t>Signature of person responsible for deduction of tax</t>
  </si>
  <si>
    <t>FORM NO.12BB</t>
  </si>
  <si>
    <t>(See rule 26C)</t>
  </si>
  <si>
    <t>Details of claims and evidence thereof</t>
  </si>
  <si>
    <t>Sl No.</t>
  </si>
  <si>
    <t>Nature of claim</t>
  </si>
  <si>
    <t>Amount (Rs.)</t>
  </si>
  <si>
    <t>Evidence / particulars</t>
  </si>
  <si>
    <t>(1)</t>
  </si>
  <si>
    <t>(2)</t>
  </si>
  <si>
    <t>(3)</t>
  </si>
  <si>
    <t>(4)</t>
  </si>
  <si>
    <t>House Rent Allowance:</t>
  </si>
  <si>
    <t>Rent paid to the landlord</t>
  </si>
  <si>
    <t>ii)</t>
  </si>
  <si>
    <t xml:space="preserve">Name of the landlord : </t>
  </si>
  <si>
    <t>iii)</t>
  </si>
  <si>
    <t>Address of the landlord:</t>
  </si>
  <si>
    <t>iv)</t>
  </si>
  <si>
    <t>Permanent Account Number of the landlord:</t>
  </si>
  <si>
    <t>Note: Permanent Account Number shall be furnished if the aggregate rent paid during the previous year exceeds one lakh rupees</t>
  </si>
  <si>
    <t>Leave travel concessions or assistance</t>
  </si>
  <si>
    <t>Deduction of interest on borrowing:</t>
  </si>
  <si>
    <t>Interest payable/paid to the lender</t>
  </si>
  <si>
    <t>Name of the lender :</t>
  </si>
  <si>
    <t>Address of the lender :</t>
  </si>
  <si>
    <t xml:space="preserve">Permanent Account Number of the lender : </t>
  </si>
  <si>
    <t xml:space="preserve">Financial Institutions(if available)  </t>
  </si>
  <si>
    <t>Employer(if available)</t>
  </si>
  <si>
    <t xml:space="preserve">c) </t>
  </si>
  <si>
    <t xml:space="preserve">a)  Deductions under Chapter VI A </t>
  </si>
  <si>
    <t>(Signature of the employee)</t>
  </si>
  <si>
    <t>DATA</t>
  </si>
  <si>
    <t>AMOUNT 80 C TOTAL</t>
  </si>
  <si>
    <t>80CCD(1)</t>
  </si>
  <si>
    <t>employee contribution</t>
  </si>
  <si>
    <t>80CCD(2)</t>
  </si>
  <si>
    <t>Addl.NPS benefit u/s</t>
  </si>
  <si>
    <t>80CCD( 1B)</t>
  </si>
  <si>
    <t>80CCD1</t>
  </si>
  <si>
    <t>ELIGIBELE 80CCD1</t>
  </si>
  <si>
    <t>BPAY</t>
  </si>
  <si>
    <t>RENT</t>
  </si>
  <si>
    <t>excess 10%</t>
  </si>
  <si>
    <t>min</t>
  </si>
  <si>
    <t>Interest on Housing Loan Advance U/s 24[B]</t>
  </si>
  <si>
    <t xml:space="preserve">Tax on Total Income </t>
  </si>
  <si>
    <t>Surcharge</t>
  </si>
  <si>
    <t>10% on Tax if Income &gt; Rs 50 lakhs &lt;Rs 1 Crore</t>
  </si>
  <si>
    <t>15% on Tax if Income &gt; Rs 1 Crore</t>
  </si>
  <si>
    <t>Tax on total income</t>
  </si>
  <si>
    <t>TAX SLAB</t>
  </si>
  <si>
    <t>SLAB INCOME</t>
  </si>
  <si>
    <t>TAX RATE</t>
  </si>
  <si>
    <t>TAX AMOUNT</t>
  </si>
  <si>
    <t>INCOME TAX SLAB</t>
  </si>
  <si>
    <t>SLAB RATE</t>
  </si>
  <si>
    <t>15,00,000+</t>
  </si>
  <si>
    <t>Tax Slab</t>
  </si>
  <si>
    <t xml:space="preserve">Slab Income </t>
  </si>
  <si>
    <t>Tax Rate</t>
  </si>
  <si>
    <t>Tax Amount</t>
  </si>
  <si>
    <t>1000000+</t>
  </si>
  <si>
    <t>individual type</t>
  </si>
  <si>
    <t>Tax Exemptions</t>
  </si>
  <si>
    <t>Age Creteria</t>
  </si>
  <si>
    <t>Income Exempted</t>
  </si>
  <si>
    <t>Male</t>
  </si>
  <si>
    <t>-</t>
  </si>
  <si>
    <t>Female</t>
  </si>
  <si>
    <t>Senior Citizens</t>
  </si>
  <si>
    <t>Very Senior Citizens</t>
  </si>
  <si>
    <t>Treasury ID No</t>
  </si>
  <si>
    <t>Sri/Smt</t>
  </si>
  <si>
    <t>Employer  Contribution towards NPS 80CCD(2) U/s 80CCE</t>
  </si>
  <si>
    <t xml:space="preserve">Date: </t>
  </si>
  <si>
    <t>b) Addl.NPS benefit u/s  -80CCD( 1B)</t>
  </si>
  <si>
    <t xml:space="preserve">  Employee contribution to CPS(NPS) -- u/s 80 CCD (1)</t>
  </si>
  <si>
    <t>c) Amount deductible under other provision(s) of Chapter VI‐A</t>
  </si>
  <si>
    <t>RECEIPT OF HOUSE RENT</t>
  </si>
  <si>
    <t>(Under Section 1 (13-A) of Income Tax Act )</t>
  </si>
  <si>
    <t xml:space="preserve">                                                                                                          </t>
  </si>
  <si>
    <t>Signature of the House Owner</t>
  </si>
  <si>
    <t>Place :</t>
  </si>
  <si>
    <t>Signature of the employee</t>
  </si>
  <si>
    <t>One</t>
  </si>
  <si>
    <t>Two</t>
  </si>
  <si>
    <t>Three</t>
  </si>
  <si>
    <t>Four</t>
  </si>
  <si>
    <t>Five</t>
  </si>
  <si>
    <t>Six</t>
  </si>
  <si>
    <t>Seven</t>
  </si>
  <si>
    <t>Eight</t>
  </si>
  <si>
    <t>Nine</t>
  </si>
  <si>
    <t>Ten</t>
  </si>
  <si>
    <t>Eleven</t>
  </si>
  <si>
    <t>Twelve</t>
  </si>
  <si>
    <t>Thirteen</t>
  </si>
  <si>
    <t>Fourteen</t>
  </si>
  <si>
    <t>Fifteen</t>
  </si>
  <si>
    <t>Sixteen</t>
  </si>
  <si>
    <t>Seventeen</t>
  </si>
  <si>
    <t>Eighteen</t>
  </si>
  <si>
    <t>Nineteen</t>
  </si>
  <si>
    <t>Twenty</t>
  </si>
  <si>
    <t>Twenty one</t>
  </si>
  <si>
    <t>Twenty two</t>
  </si>
  <si>
    <t>Twenty three</t>
  </si>
  <si>
    <t>Twenty four</t>
  </si>
  <si>
    <t>Twenty five</t>
  </si>
  <si>
    <t>Twenty six</t>
  </si>
  <si>
    <t>Twenty seven</t>
  </si>
  <si>
    <t>Twenty eight</t>
  </si>
  <si>
    <t>Twenty nine</t>
  </si>
  <si>
    <t xml:space="preserve">Thirty </t>
  </si>
  <si>
    <t>Thirty one</t>
  </si>
  <si>
    <t>Thirty two</t>
  </si>
  <si>
    <t>Thirty three</t>
  </si>
  <si>
    <t>Thirty four</t>
  </si>
  <si>
    <t>Thirty five</t>
  </si>
  <si>
    <t>Thirty six</t>
  </si>
  <si>
    <t>Thirty seven</t>
  </si>
  <si>
    <t>Thirty eight</t>
  </si>
  <si>
    <t>Thirty nine</t>
  </si>
  <si>
    <t xml:space="preserve">Forty </t>
  </si>
  <si>
    <t>Forty one</t>
  </si>
  <si>
    <t>Forty two</t>
  </si>
  <si>
    <t>Forty three</t>
  </si>
  <si>
    <t>Forty four</t>
  </si>
  <si>
    <t>Forty five</t>
  </si>
  <si>
    <t>Forty six</t>
  </si>
  <si>
    <t>Forty seven</t>
  </si>
  <si>
    <t>Forty eight</t>
  </si>
  <si>
    <t>Forty nine</t>
  </si>
  <si>
    <t>Fifty</t>
  </si>
  <si>
    <t>Fifty one</t>
  </si>
  <si>
    <t>Fifty two</t>
  </si>
  <si>
    <t>Fifty three</t>
  </si>
  <si>
    <t>Fifty four</t>
  </si>
  <si>
    <t>Fifty five</t>
  </si>
  <si>
    <t>Fifty six</t>
  </si>
  <si>
    <t>Fifty seven</t>
  </si>
  <si>
    <t>Fifty eight</t>
  </si>
  <si>
    <t>Fifty nine</t>
  </si>
  <si>
    <t>sixty</t>
  </si>
  <si>
    <t>Sixty one</t>
  </si>
  <si>
    <t>Sixty two</t>
  </si>
  <si>
    <t>Sixty three</t>
  </si>
  <si>
    <t>Sixty four</t>
  </si>
  <si>
    <t>Sixty five</t>
  </si>
  <si>
    <t>Sixty six</t>
  </si>
  <si>
    <t>Sixty seven</t>
  </si>
  <si>
    <t>Sixty eight</t>
  </si>
  <si>
    <t>Sixty nine</t>
  </si>
  <si>
    <t>Seventy</t>
  </si>
  <si>
    <t>Seventy one</t>
  </si>
  <si>
    <t>Seventy two</t>
  </si>
  <si>
    <t>Seventy three</t>
  </si>
  <si>
    <t>Seventy four</t>
  </si>
  <si>
    <t>Seventy five</t>
  </si>
  <si>
    <t>Seventy six</t>
  </si>
  <si>
    <t>Seventy seven</t>
  </si>
  <si>
    <t>Seventy eight</t>
  </si>
  <si>
    <t>Seventy nine</t>
  </si>
  <si>
    <t xml:space="preserve">Eighty </t>
  </si>
  <si>
    <t>Eighty one</t>
  </si>
  <si>
    <t>Eighty two</t>
  </si>
  <si>
    <t>Eighty three</t>
  </si>
  <si>
    <t>Eighty four</t>
  </si>
  <si>
    <t>Eighty five</t>
  </si>
  <si>
    <t>Eighty six</t>
  </si>
  <si>
    <t>Eighty seven</t>
  </si>
  <si>
    <t>Eighty eight</t>
  </si>
  <si>
    <t>Eighty nine</t>
  </si>
  <si>
    <t>Ninety</t>
  </si>
  <si>
    <t>Ninety one</t>
  </si>
  <si>
    <t>Ninety two</t>
  </si>
  <si>
    <t>Ninety three</t>
  </si>
  <si>
    <t>Ninety four</t>
  </si>
  <si>
    <t>Ninety five</t>
  </si>
  <si>
    <t>Ninety six</t>
  </si>
  <si>
    <t>Ninety seven</t>
  </si>
  <si>
    <t>Ninety eight</t>
  </si>
  <si>
    <t>Ninety nine</t>
  </si>
  <si>
    <t>Number</t>
  </si>
  <si>
    <t>Rupees in Words Conversion</t>
  </si>
  <si>
    <t>INT(A16/100000)</t>
  </si>
  <si>
    <t>INT(A16/1000-C16*100)</t>
  </si>
  <si>
    <t>INT(A16/100-C16*1000-D16*10)</t>
  </si>
  <si>
    <t>INT(A16-C16*100000-D16*1000-E16*100)</t>
  </si>
  <si>
    <t>IF(C16=0,"",LOOKUP(C16,$G$2:$DD$2,$G$3:$DD$3))</t>
  </si>
  <si>
    <t>IF(D16=0,"",LOOKUP(D16,$G$2:$DD$2,$G$3:$DD$3))</t>
  </si>
  <si>
    <t>IF(E16=0,"",LOOKUP(E16,$G$2:$R$2,$G$3:$R$3))</t>
  </si>
  <si>
    <t>IF(F16=0,"",LOOKUP(F16,$G$2:$DD$2,$G$3:$DD$3))</t>
  </si>
  <si>
    <t>IF(AND(E16=0,F16=0),1,2)</t>
  </si>
  <si>
    <t>IF(F16=0,3,4)</t>
  </si>
  <si>
    <t>IF(OR(K16=1,L16=3),5,6)</t>
  </si>
  <si>
    <t>IF(C16&gt;1," Lakhs ",IF(C16&gt;0," Lakh ",""))</t>
  </si>
  <si>
    <t>IF(D16&gt;0," Thousand ","")</t>
  </si>
  <si>
    <t>IF(E16&gt;0," Hundred ","")</t>
  </si>
  <si>
    <t>IF(A16=0,"Zero",IF(A16&gt;0,TRIM(CONCATENATE(G16,N16,H16,O16,I16,P16,IF(AND(A16&gt;100,M16=6)," and ",""),J16)),""))</t>
  </si>
  <si>
    <t>No.of Months</t>
  </si>
  <si>
    <t>total</t>
  </si>
  <si>
    <t>Min of the scale</t>
  </si>
  <si>
    <t>without MIN AAS PRO</t>
  </si>
  <si>
    <t>Two incre on incr date</t>
  </si>
  <si>
    <t>Addl.NPS benefit u/s  -80CCD( 1B)</t>
  </si>
  <si>
    <t>Deduction in respect of contribution to certain pension funds u/s 80CCC</t>
  </si>
  <si>
    <t>Total amount under other provision(s) of 
Chapter VI‐A</t>
  </si>
  <si>
    <t>TAX PAYABLE / REFUNDABLE  (Rs.)</t>
  </si>
  <si>
    <t>ChooseTax Slab for New Tax Regime u/s 115BAC or Old Slab ?</t>
  </si>
  <si>
    <t>&lt; 60 years</t>
  </si>
  <si>
    <t xml:space="preserve"> 60 years or more but less than 80 years</t>
  </si>
  <si>
    <t>General (less than 60 years)</t>
  </si>
  <si>
    <t>OLD/NEW-TYPE</t>
  </si>
  <si>
    <t>if pay fix @Mini</t>
  </si>
  <si>
    <t>old</t>
  </si>
  <si>
    <t>NEW</t>
  </si>
  <si>
    <t>ADJUSTED</t>
  </si>
  <si>
    <t xml:space="preserve">Adjust </t>
  </si>
  <si>
    <t>Select 1 to hide rows</t>
  </si>
  <si>
    <t>Other deductions</t>
  </si>
  <si>
    <t>FORM NO.10E</t>
  </si>
  <si>
    <t>[ See rule 21AA ]</t>
  </si>
  <si>
    <t>Name and address of the Employee</t>
  </si>
  <si>
    <t>Permanent Account Number</t>
  </si>
  <si>
    <t>Residential status</t>
  </si>
  <si>
    <t>Resident</t>
  </si>
  <si>
    <t>a.</t>
  </si>
  <si>
    <t>Salary received in arrears or in advance in accordance with the provisions of sub-rule (2) of rule 21A</t>
  </si>
  <si>
    <t>Rs.</t>
  </si>
  <si>
    <t>b.</t>
  </si>
  <si>
    <t>Pament in the nature of gratuity in respect of past services, extending over a period of not less than 5 years in accordance with the provisions of sub-rule (3) of rule 21A</t>
  </si>
  <si>
    <t>Not Applicable</t>
  </si>
  <si>
    <t>c.</t>
  </si>
  <si>
    <t>Payment in the nature of compensation from the employer or former employer at or in connection with termination of employment after continuous service of not less than 3 years or where the unexpired portion of term of employment is also not less than 3 years in accordancewith the provisions of sub rule (4) of the 21A</t>
  </si>
  <si>
    <t>d.</t>
  </si>
  <si>
    <t>Payment in commutation of pension in accordance with the provisions of sub-rule (5) of rule 21A</t>
  </si>
  <si>
    <t>Detailed particulars of payments refered to above may be given in Annexure-I, II, IIA, III, or IV, as the case may be</t>
  </si>
  <si>
    <t>Annexure-I</t>
  </si>
  <si>
    <t>Verified today,</t>
  </si>
  <si>
    <t>Place…</t>
  </si>
  <si>
    <t>Date:…</t>
  </si>
  <si>
    <t>(See item 2 of Form No. 10E)</t>
  </si>
  <si>
    <t>ARREARS OR ADVANCE SALARY</t>
  </si>
  <si>
    <t>Salary received in arrears or advance</t>
  </si>
  <si>
    <t>Total income (as increased by salary received in arrears or advance)</t>
  </si>
  <si>
    <t>Tax on total income (as per item 3)</t>
  </si>
  <si>
    <t>Tax on total income (as per item 1)</t>
  </si>
  <si>
    <t>Tax on salary received in arrears or advance</t>
  </si>
  <si>
    <t>(Difference of item 4 and item 5)</t>
  </si>
  <si>
    <t>Tax computed in accordance with table "A"</t>
  </si>
  <si>
    <t>(Brought from column 7 of Table "A")</t>
  </si>
  <si>
    <t>Relief under section 89(1)</t>
  </si>
  <si>
    <t>TABLE "A"</t>
  </si>
  <si>
    <t>{See item 7 of Annexure I}</t>
  </si>
  <si>
    <t>Previous Year(s)</t>
  </si>
  <si>
    <t>Total income of the relevent previous year (Rs.)</t>
  </si>
  <si>
    <t>Salary received in arrears or advance relating to the previous year as mentioned in column(1) (Rs)</t>
  </si>
  <si>
    <t>Total income (as increased by salary received in arrears or advance) of the relevent previous year mentioned in column 1 (Rs.)</t>
  </si>
  <si>
    <t>Tax on total income {as per column (2)} (Rs.)</t>
  </si>
  <si>
    <t>Tax on total income {as per column (4)} (Rs.)</t>
  </si>
  <si>
    <t>Difference in tax {amount under column (6) minus amount under column (5)} (Rs.)</t>
  </si>
  <si>
    <t>2019-20</t>
  </si>
  <si>
    <t>2018-19</t>
  </si>
  <si>
    <t>2017-18</t>
  </si>
  <si>
    <t>2016-17</t>
  </si>
  <si>
    <t>2015-16</t>
  </si>
  <si>
    <t>2014-15</t>
  </si>
  <si>
    <t>2013-14</t>
  </si>
  <si>
    <t>2012-13</t>
  </si>
  <si>
    <t>2011-12</t>
  </si>
  <si>
    <t>Signature</t>
  </si>
  <si>
    <t xml:space="preserve"> Name:</t>
  </si>
  <si>
    <t>Designation:</t>
  </si>
  <si>
    <t xml:space="preserve">             I       do  hereby  declare  that  what  is  stated  above  is  true  to  the  best  of  my  knowledge  and  belief.</t>
  </si>
  <si>
    <t>WITH ARREARS</t>
  </si>
  <si>
    <t>Rebate</t>
  </si>
  <si>
    <t>Tax</t>
  </si>
  <si>
    <t>If rented,Owner Name</t>
  </si>
  <si>
    <t>Relief u/s 89 ?
(Form 10E)</t>
  </si>
  <si>
    <t>2020-21</t>
  </si>
  <si>
    <t>No home loan interest</t>
  </si>
  <si>
    <t>Home loan interest(1st home,stamp value&lt;=45 lacks,loan in Apr,2019 to Mar,2022)</t>
  </si>
  <si>
    <t>80EE-Deduction for Interest on Home Loan(loan FY-2016-17,Loan&lt;=35 Lack,House Value&lt;50 lack)</t>
  </si>
  <si>
    <t>Housing Loan Interest-u/s 80EEA(loan in Apr-19 to Mar-22,stamp duty value&lt;=45lakhs)</t>
  </si>
  <si>
    <t>Employer  Contribution towards NPS 80CCD(2)</t>
  </si>
  <si>
    <t>If need Change ?</t>
  </si>
  <si>
    <t>Month Rent</t>
  </si>
  <si>
    <t>Rent Period  from</t>
  </si>
  <si>
    <t>Permanent Account Number (PAN) :</t>
  </si>
  <si>
    <t>old slab taxble</t>
  </si>
  <si>
    <t>New slab taxble</t>
  </si>
  <si>
    <t>BASIC PAY</t>
  </si>
  <si>
    <t>TOTAL DEDUCTION u/s 80 C</t>
  </si>
  <si>
    <t>2021-22</t>
  </si>
  <si>
    <t>HPL's</t>
  </si>
  <si>
    <t>EOL's</t>
  </si>
  <si>
    <t>19000-58850</t>
  </si>
  <si>
    <t>19640-60480</t>
  </si>
  <si>
    <t>20280-62110</t>
  </si>
  <si>
    <t>21580-65570</t>
  </si>
  <si>
    <t>22240-67300</t>
  </si>
  <si>
    <t>22900-69150</t>
  </si>
  <si>
    <t>24280-72850</t>
  </si>
  <si>
    <t>26410-78820</t>
  </si>
  <si>
    <t>27130-80960</t>
  </si>
  <si>
    <t>28630-85240</t>
  </si>
  <si>
    <t>31040-92050</t>
  </si>
  <si>
    <t>32810-96890</t>
  </si>
  <si>
    <t>33750-99310</t>
  </si>
  <si>
    <t>35720-104430</t>
  </si>
  <si>
    <t>36750-106990</t>
  </si>
  <si>
    <t>38890-112510</t>
  </si>
  <si>
    <t>42300-115270</t>
  </si>
  <si>
    <t>43490-118230</t>
  </si>
  <si>
    <t>45960-124150</t>
  </si>
  <si>
    <t>51320-127310</t>
  </si>
  <si>
    <t>54220-133630</t>
  </si>
  <si>
    <t>58850-137050</t>
  </si>
  <si>
    <t>62110-140470</t>
  </si>
  <si>
    <t>67300-143890</t>
  </si>
  <si>
    <t>72850-147310</t>
  </si>
  <si>
    <t>76830-151000</t>
  </si>
  <si>
    <t>83100-154690</t>
  </si>
  <si>
    <t>89780-154690</t>
  </si>
  <si>
    <t>96890-158380</t>
  </si>
  <si>
    <t>106990-158380</t>
  </si>
  <si>
    <t>118230-162070</t>
  </si>
  <si>
    <t>127310-162070</t>
  </si>
  <si>
    <t>EOL</t>
  </si>
  <si>
    <t>text</t>
  </si>
  <si>
    <t>final AGI</t>
  </si>
  <si>
    <t>Final AGI after EOL</t>
  </si>
  <si>
    <t>Final AGI After eol</t>
  </si>
  <si>
    <t>bill period</t>
  </si>
  <si>
    <t>DA from</t>
  </si>
  <si>
    <t>to GPF</t>
  </si>
  <si>
    <t>1 ST DA</t>
  </si>
  <si>
    <t>Adv.TAX</t>
  </si>
  <si>
    <t>Total DAY</t>
  </si>
  <si>
    <t>C.A Allowance</t>
  </si>
  <si>
    <t>Spl.Pay Allowance</t>
  </si>
  <si>
    <t>Uniform Allowance</t>
  </si>
  <si>
    <t>H.M Allowance</t>
  </si>
  <si>
    <t>Risk Allowance</t>
  </si>
  <si>
    <t>Min pay fixation</t>
  </si>
  <si>
    <t>For dedu on HRA Month</t>
  </si>
  <si>
    <t>HRA-1</t>
  </si>
  <si>
    <t>HRA-2</t>
  </si>
  <si>
    <t>ZP GPF</t>
  </si>
  <si>
    <t>AG GPF</t>
  </si>
  <si>
    <t>IV Class GPF</t>
  </si>
  <si>
    <t>PUBLIC PROVIDENT FUND</t>
  </si>
  <si>
    <t>Spl.Pay</t>
  </si>
  <si>
    <t>FPI+PP</t>
  </si>
  <si>
    <t>Need Change PTAX?</t>
  </si>
  <si>
    <t>N.A</t>
  </si>
  <si>
    <t>HRA-3</t>
  </si>
  <si>
    <t>Appoint date</t>
  </si>
  <si>
    <t>Exempt HRA,rent @month</t>
  </si>
  <si>
    <t>PF TYPE</t>
  </si>
  <si>
    <t>total DA</t>
  </si>
  <si>
    <t>COLUMN</t>
  </si>
  <si>
    <t>ROW</t>
  </si>
  <si>
    <t>OFFSET('statement print'!$A$2:$Z$3,0,0,2+'statement print'!$AD$3,'statement print'!$AD$2)</t>
  </si>
  <si>
    <t>HRA-4</t>
  </si>
  <si>
    <t>SELF</t>
  </si>
  <si>
    <t>PHC Applicable?</t>
  </si>
  <si>
    <t>EWF+SWF+G.F</t>
  </si>
  <si>
    <t>Green Fund</t>
  </si>
  <si>
    <t>Green fund</t>
  </si>
  <si>
    <t>If rented,Address</t>
  </si>
  <si>
    <t>Reader Allowance</t>
  </si>
  <si>
    <t>CPS/GPF</t>
  </si>
  <si>
    <t>ADV TAX</t>
  </si>
  <si>
    <t>Adv.Tax</t>
  </si>
  <si>
    <t>Sign of DDO</t>
  </si>
  <si>
    <t>without arrears</t>
  </si>
  <si>
    <t>Total Tax</t>
  </si>
  <si>
    <t>Select Increment Month</t>
  </si>
  <si>
    <t>&gt;=40%</t>
  </si>
  <si>
    <t>&gt;=80%</t>
  </si>
  <si>
    <t>EWF,SWF</t>
  </si>
  <si>
    <t>PANNOTREQD</t>
  </si>
  <si>
    <t>80G-EWF.SWF,CMRF</t>
  </si>
  <si>
    <t>80G -EWF.SWF,CMRF</t>
  </si>
  <si>
    <t>Child Fee Concession</t>
  </si>
  <si>
    <t>IF ANY CELL CHANGED IN UNPROTECTED SHEET &gt;&gt;DON'T USE AGAIN THIS SOFTWARE ,PLEASE DOWNLOAD NEW COPY FROM WWW.MEDAKBADI.IN</t>
  </si>
  <si>
    <t>Total income (excluding salary received in arrears or advance)</t>
  </si>
  <si>
    <t xml:space="preserve"> PART B (Annexure)</t>
  </si>
  <si>
    <t>National Pension scheme investment(Other than CPS Employee)</t>
  </si>
  <si>
    <t>Basic pay</t>
  </si>
  <si>
    <t xml:space="preserve">Date </t>
  </si>
  <si>
    <t>cess</t>
  </si>
  <si>
    <t>NEW REGIM</t>
  </si>
  <si>
    <t>CESS</t>
  </si>
  <si>
    <t>REBATE</t>
  </si>
  <si>
    <t>CESS 4%</t>
  </si>
  <si>
    <t>&lt;&lt;&lt;Without Arrears&gt;&gt;&gt;</t>
  </si>
  <si>
    <t>REFERENCE PURPOSE</t>
  </si>
  <si>
    <t>Office</t>
  </si>
  <si>
    <t xml:space="preserve">      if you have get any relief under section 89(1) it is mandatory  to file Form 10E  online (Login to https://eportal.incometax.gov.in/ )  or else you have received a notice from the income tax department.</t>
  </si>
  <si>
    <t>Date:</t>
  </si>
  <si>
    <t>Relief U/S 89(1)[Arrears Relief from Salary] (FORM 10E-attach details)</t>
  </si>
  <si>
    <t>Mar-2023</t>
  </si>
  <si>
    <t>Aug-2023</t>
  </si>
  <si>
    <t>To GPF</t>
  </si>
  <si>
    <t>D.A from</t>
  </si>
  <si>
    <t>Cash from</t>
  </si>
  <si>
    <t>DA to</t>
  </si>
  <si>
    <t>Diff</t>
  </si>
  <si>
    <t>no of instals of 90%</t>
  </si>
  <si>
    <t>90% Instals Wef</t>
  </si>
  <si>
    <t>If yes ,Date</t>
  </si>
  <si>
    <t>Q1</t>
  </si>
  <si>
    <t>Q2</t>
  </si>
  <si>
    <t>Q3</t>
  </si>
  <si>
    <t>Q4</t>
  </si>
  <si>
    <t>PAY PARTICULARS</t>
  </si>
  <si>
    <t>If Yes,Select Basic Pay</t>
  </si>
  <si>
    <t>IR date</t>
  </si>
  <si>
    <t>IR%</t>
  </si>
  <si>
    <t>If change ,Rent Rs.</t>
  </si>
  <si>
    <t>PF-4</t>
  </si>
  <si>
    <t>CPS-4</t>
  </si>
  <si>
    <t>CPS-5</t>
  </si>
  <si>
    <t>PF-5</t>
  </si>
  <si>
    <t>I.R wef &amp; %</t>
  </si>
  <si>
    <t>if changed ,select rent changed month</t>
  </si>
  <si>
    <t>2022-23</t>
  </si>
  <si>
    <t>No.of Instals credit RPS-2020 Arrears</t>
  </si>
  <si>
    <t>If AAS Taken ?</t>
  </si>
  <si>
    <t>Promotion Taken?</t>
  </si>
  <si>
    <t>10%-CPS/GPF Dedu</t>
  </si>
  <si>
    <t>90% Cps/Net</t>
  </si>
  <si>
    <t>Feb-2024</t>
  </si>
  <si>
    <t>ANNUAL GRADE INCREMENT &amp; ALL TYPE OF LEAVE PROCEEDING SOFTWARE</t>
  </si>
  <si>
    <t>PROMOTION FIXATION SOFTWARE ALL GOVT EMPLOYEES</t>
  </si>
  <si>
    <t xml:space="preserve">TDS FORM 24 Q SOFTWARE FY 2023-24 </t>
  </si>
  <si>
    <t>TS AAS (6/12/18/24 YEARS SCALES) SOFTWARE</t>
  </si>
  <si>
    <t>Medical Reimbursement Proposal for working,retire &amp; death</t>
  </si>
  <si>
    <t>Supplementary &amp; Leave salary Arrears  bill software in RPS-2020 for TS&amp;AP</t>
  </si>
  <si>
    <t>ALL TYPE OF ENTRANCE EXAMS HALL WISE SEATING ARRANGEMENT SOFTWARE</t>
  </si>
  <si>
    <t xml:space="preserve"> SALARY PAY BILL AND EL SURRENDER BILL SOFTWARE WITH CIVIL LIST  IN RPS-2020</t>
  </si>
  <si>
    <t>SSC NOMINAL ROLL SOFTWARE FOR TS</t>
  </si>
  <si>
    <t>ALL TYPE OF PENSIONER's SOFTWARES-TS</t>
  </si>
  <si>
    <t>WWW.MEDAKBADI.IN (ALL OTHER SOFTWARES)</t>
  </si>
  <si>
    <t>Working Office/School</t>
  </si>
  <si>
    <t>Employee Name</t>
  </si>
  <si>
    <t>Employee Designation</t>
  </si>
  <si>
    <t>IMPORTANT SOFTWARES FROM MEDAKBADI
YOU MAY DOWNLOAD THEM BY CLICKING ON BELOW  LINKS</t>
  </si>
  <si>
    <t>EMPLOYEE DETAILS</t>
  </si>
  <si>
    <t>DDO DETAILS</t>
  </si>
  <si>
    <t>Employee PAN NO</t>
  </si>
  <si>
    <t>If Know ,TSGLI NO</t>
  </si>
  <si>
    <t>If Know,GPF/CPS NO</t>
  </si>
  <si>
    <t>Sec 80C DETAILS</t>
  </si>
  <si>
    <t>OTHER SEC DEDUCTION</t>
  </si>
  <si>
    <t>GPF LOAN AND PART FINAL SOFTWARE</t>
  </si>
  <si>
    <t>FY 2022-23</t>
  </si>
  <si>
    <t>DA ARREARS YEAR WISE</t>
  </si>
  <si>
    <t>EWF Period &amp; Rs</t>
  </si>
  <si>
    <t>SWF Period &amp; Rs</t>
  </si>
  <si>
    <t>CMRF-Period &amp; Rs</t>
  </si>
  <si>
    <t>if CMRF-Period &amp; Rs</t>
  </si>
  <si>
    <t>Green Fund Period &amp; Rs</t>
  </si>
  <si>
    <t xml:space="preserve">                         Pay &amp; Allowance</t>
  </si>
  <si>
    <t xml:space="preserve">SCA </t>
  </si>
  <si>
    <t>RPS-2020</t>
  </si>
  <si>
    <t>BELOW SELECT FOR &gt;&gt; SAVING UNDER CHAPTER  VIA(80C,80CCC,80CCD)</t>
  </si>
  <si>
    <t>Other Deduction</t>
  </si>
  <si>
    <t>Prepared by WWW.MEDAKBADI.IN (VIJAYA KUMAR KOTA  GHM Gr-II, ZPHS KOTHLAPUR, MDL&amp;DIST:SANGAREDDY,TS</t>
  </si>
  <si>
    <t>Old slab taxble</t>
  </si>
  <si>
    <r>
      <t xml:space="preserve">Downloading of Form-16 (TDS/TCS) Certificate from TRACES(www.tdscpc.gov.in) portal is mandatory &amp; only such certificates are valid. Non compliance of the same attracts penalty under the income tax Act 1961.   </t>
    </r>
    <r>
      <rPr>
        <b/>
        <sz val="12"/>
        <color theme="0"/>
        <rFont val="Arial Narrow"/>
        <family val="2"/>
      </rPr>
      <t xml:space="preserve"> Hence DDO's not issue Manual FORM-16 to his employees.After filling of TDS -Q4 ,issue Form-16 before 15 th June by downloading only from traces.</t>
    </r>
  </si>
  <si>
    <t xml:space="preserve">Net Income Tax </t>
  </si>
  <si>
    <t>Income Tax including surcharge</t>
  </si>
  <si>
    <t>Education Cess</t>
  </si>
  <si>
    <t>Tax Including Surcharge&amp;Edn Cess (New Regime)</t>
  </si>
  <si>
    <t>Tax Including Surcharge&amp;Edn Cess (Old Regime)</t>
  </si>
  <si>
    <t>Rebate under section 87A (Old Regime)</t>
  </si>
  <si>
    <t>Rent @Month</t>
  </si>
  <si>
    <t>Old Regim-HRA Calculation</t>
  </si>
  <si>
    <t>Home loan interest Taken before FY-2016-17 (or)during FY's-2017-19 (or) After FY-2022-23</t>
  </si>
  <si>
    <t>Home loan interest(1st home,house value&lt;=50lacks,loan amount&lt;=35lacks,FY-2016-17</t>
  </si>
  <si>
    <t>Your PHC Allowance</t>
  </si>
  <si>
    <t>SALARY DEDUCTIONS</t>
  </si>
  <si>
    <t>PREMIUM</t>
  </si>
  <si>
    <t>if Basic pay's &gt;1 Incre?</t>
  </si>
  <si>
    <t>IF CHANGE, Rs.</t>
  </si>
  <si>
    <t>PERIOD FROM</t>
  </si>
  <si>
    <t>Select P.F Type</t>
  </si>
  <si>
    <t>ALLOWANCES</t>
  </si>
  <si>
    <t>Allowances&gt;Changed Dates</t>
  </si>
  <si>
    <t>Select Basic Pay as on</t>
  </si>
  <si>
    <t xml:space="preserve">Auto DA Calculation </t>
  </si>
  <si>
    <t>if avail, Select Leave Type</t>
  </si>
  <si>
    <t>WWW.MEDAKBADI.IN</t>
  </si>
  <si>
    <t>Advance tax paid</t>
  </si>
  <si>
    <t>Check all values with experts</t>
  </si>
  <si>
    <t>Pay Details</t>
  </si>
  <si>
    <t>Salary Month</t>
  </si>
  <si>
    <t>Quarter?</t>
  </si>
  <si>
    <t>Select Only Month</t>
  </si>
  <si>
    <t>Enter availed days in above period</t>
  </si>
  <si>
    <t>IT IS REFERENCE PURPOSE</t>
  </si>
  <si>
    <t>if CPS 10%</t>
  </si>
  <si>
    <t>If any Arrears received, Enter below</t>
  </si>
  <si>
    <t>Surrender leave Period &amp; Days</t>
  </si>
  <si>
    <t>if ,Surrender leave Period &amp; Days</t>
  </si>
  <si>
    <t>MID DAY MEALS SOFTWARE(All 12 months) for HS</t>
  </si>
  <si>
    <t>SCA-RPS 2015 UP TO 21-06.2023</t>
  </si>
  <si>
    <t>HRA HPL's</t>
  </si>
  <si>
    <t>HPLS</t>
  </si>
  <si>
    <t>SA Maths</t>
  </si>
  <si>
    <t>CCA-Only HPL's</t>
  </si>
  <si>
    <t>Prepared by
(WWW.MEDAKBADI.IN)
KOTA VIJAYAKUMAR,
                   GHM Gr-II,
ZPHS KOTHLAPUR,
MDL&amp;DIST:SANGAREDDY</t>
  </si>
  <si>
    <t>DA date wef</t>
  </si>
  <si>
    <t>FY 2023-24</t>
  </si>
  <si>
    <t>2023-24</t>
  </si>
  <si>
    <t>Taxable Income for Relevant FY</t>
  </si>
  <si>
    <t xml:space="preserve">Relevant Financial Year </t>
  </si>
  <si>
    <t>Old Tax Regime</t>
  </si>
  <si>
    <t>New Tax Regime</t>
  </si>
  <si>
    <t>&gt;&gt;&gt;&gt;</t>
  </si>
  <si>
    <r>
      <rPr>
        <b/>
        <sz val="9"/>
        <rFont val="Times New Roman"/>
        <family val="1"/>
      </rPr>
      <t>SELECT</t>
    </r>
    <r>
      <rPr>
        <b/>
        <sz val="9"/>
        <color theme="1"/>
        <rFont val="Times New Roman"/>
        <family val="1"/>
      </rPr>
      <t xml:space="preserve"> OTHER DEDUCTION (e.g. 80E, 80G, 80U, etc.) under Chapter VI-A</t>
    </r>
  </si>
  <si>
    <t>80EEA</t>
  </si>
  <si>
    <t>80EE</t>
  </si>
  <si>
    <t>New Tax Regime without arrears</t>
  </si>
  <si>
    <t>The tax rates under the new tax regime and the old tax regime for FY 2022-23 (AY 2023-24), FY 2023-24(AY 2024-25) and FY 2024-25(AY 2025-26) are compared below:</t>
  </si>
  <si>
    <t>Old Tax Regime (FY 2022-23, FY 2023-24 and FY 2024-25)</t>
  </si>
  <si>
    <t>Income Slabs</t>
  </si>
  <si>
    <t>Age &lt; 60 years &amp; NRIs</t>
  </si>
  <si>
    <t>Age of 60 Years to 80 years</t>
  </si>
  <si>
    <t>Age above 80 Years</t>
  </si>
  <si>
    <t>FY 2024-25</t>
  </si>
  <si>
    <t>Up to ₹2,50,000</t>
  </si>
  <si>
    <t>NIL</t>
  </si>
  <si>
    <t>₹2,50,001 - ₹3,00,000</t>
  </si>
  <si>
    <t>₹3,00,001 - ₹5,00,000</t>
  </si>
  <si>
    <t>₹5,00,001 - ₹6,00,000</t>
  </si>
  <si>
    <t>₹6,00,001 - ₹7,00,000</t>
  </si>
  <si>
    <t>₹7,00,001 - ₹7,50,000</t>
  </si>
  <si>
    <t>₹7,50,001 - ₹9,00,000</t>
  </si>
  <si>
    <t>₹9,00,001 - ₹10,00,000</t>
  </si>
  <si>
    <t>₹10,00,001 - ₹12,00,000</t>
  </si>
  <si>
    <t>₹12,00,001 - ₹12,50,000</t>
  </si>
  <si>
    <t>₹12,50,001 - ₹15,00,000</t>
  </si>
  <si>
    <t>₹15,00,000 and above</t>
  </si>
  <si>
    <t>Comparison of Deductions: Old Tax Regime vs. New Tax Regime for FY 2024-25</t>
  </si>
  <si>
    <t>The below table outlines the key differences in available deductions between the Old Tax Regime and the New Tax Regime (Section 115BAC) for the financial year 2024-25:</t>
  </si>
  <si>
    <t>Deduction/Exemption</t>
  </si>
  <si>
    <t>Old Regime </t>
  </si>
  <si>
    <t>New Regime (Section 115BAC) </t>
  </si>
  <si>
    <t>Section 80C (Investment in PPF, NSC, Life Insurance Premium, ELSS, etc.)</t>
  </si>
  <si>
    <t>Available up to  Rs. 1.5 lakh</t>
  </si>
  <si>
    <t>Not available</t>
  </si>
  <si>
    <t>Section 80D (Health insurance premium)</t>
  </si>
  <si>
    <t>Available</t>
  </si>
  <si>
    <t>Standard Deduction (for salaried individuals)</t>
  </si>
  <si>
    <t>Rs. 50,000</t>
  </si>
  <si>
    <t>Rs. 75,000 (FY 2024-25) and Rs. 50,000 (FY 2023-24)</t>
  </si>
  <si>
    <t>House Rent Allowance (HRA)</t>
  </si>
  <si>
    <t>Available (based on actuals)</t>
  </si>
  <si>
    <t>Leave Travel Allowance (LTA)</t>
  </si>
  <si>
    <t>Interest on Housing Loan (Section 24) (for self-occupied property)</t>
  </si>
  <si>
    <t>Deduction up to Rs. 2 lakh</t>
  </si>
  <si>
    <t>Section 80E (Interest on education loan)</t>
  </si>
  <si>
    <t>Section 80G (Donations to charitable institutions)</t>
  </si>
  <si>
    <t>Section 80TTA/80TTB (Interest on savings bank account/interest for senior citizens)</t>
  </si>
  <si>
    <t>Entertainment Allowance</t>
  </si>
  <si>
    <t>Professional Tax (for salaried individuals)</t>
  </si>
  <si>
    <t>Additional Depreciation (Section 32(1)(iia))</t>
  </si>
  <si>
    <t>Income from House Property Loss Set-off</t>
  </si>
  <si>
    <t>Allowed (set off with other income)</t>
  </si>
  <si>
    <t>Children’s Education Allowance</t>
  </si>
  <si>
    <t>Transport Allowance (for specially abled)</t>
  </si>
  <si>
    <t>Income of the assessee</t>
  </si>
  <si>
    <t>Rate of Tax under Old Tax Regime for FY 22-23, 21-22 and 20-21 (i.e, AY 23-24, 22-23 &amp; 21-22)</t>
  </si>
  <si>
    <t>New Tax Regime Slab Rates for FY 22-23, 21-22 and 20-21 (i.e, AY 23-24, 22-23 &amp; 21-22)</t>
  </si>
  <si>
    <t>Individuals with age less than 60 years or HUF</t>
  </si>
  <si>
    <t>Individuals with age 60years or more but less than 80 years</t>
  </si>
  <si>
    <t>Individuals with age 80 years or more</t>
  </si>
  <si>
    <t>Applicable for All Individuals or HUF</t>
  </si>
  <si>
    <t>Rs 0.0 to Rs 2,50,000</t>
  </si>
  <si>
    <t>Rs 2,50,001 to Rs 3,00,000</t>
  </si>
  <si>
    <t>5% (tax rebate u/s 87a is available)</t>
  </si>
  <si>
    <t>Rs. 3,00,001 to Rs 5,00,000</t>
  </si>
  <si>
    <t>Rs. 5,00,001 to Rs 7,50,000</t>
  </si>
  <si>
    <t>Rs 7,50,001 to Rs 10,00,000</t>
  </si>
  <si>
    <t>Rs 10,00,001 to Rs. 12,50,000</t>
  </si>
  <si>
    <t>Rs. 12,50,001 to Rs. 15,00,000</t>
  </si>
  <si>
    <t>Exceeding Rs. 15,00,001</t>
  </si>
  <si>
    <t>Note:</t>
  </si>
  <si>
    <t>1. In Addition to basic Income Tax, as discussed above, the following are also to be taken care of:-</t>
  </si>
  <si>
    <t>- Surcharge: Surcharge is levied on the amount of income tax at the following rates if the total income of an assessee exceeds specified limits:-</t>
  </si>
  <si>
    <t>Taxable Income is Rs. 50 Lakhs upto Rs. 1 Crore</t>
  </si>
  <si>
    <t>Taxable IncomeisRs. 1 Crore Upto Rs. 2 Crores</t>
  </si>
  <si>
    <t>Taxable Income isRs. 2 Crores upto Rs. 5 Crores</t>
  </si>
  <si>
    <t>Taxable Income is above More Than Rs. 5 Crores</t>
  </si>
  <si>
    <t>- Health &amp; Education Cess @4%</t>
  </si>
  <si>
    <t>- Rebate u/s 87A</t>
  </si>
  <si>
    <t>Man</t>
  </si>
  <si>
    <t>Women</t>
  </si>
  <si>
    <t xml:space="preserve">Sr. Citizen </t>
  </si>
  <si>
    <t>Most Sr.Citizen</t>
  </si>
  <si>
    <t>New Tax REGIME</t>
  </si>
  <si>
    <t>Tax Rebate u/s 87 A</t>
  </si>
  <si>
    <t>Cess @ 4% (New Tax Regime)</t>
  </si>
  <si>
    <t>2,50,000</t>
  </si>
  <si>
    <t>2,50,000,</t>
  </si>
  <si>
    <t>Basic Exemptions&gt;&gt;New Tax REGIME/old regime</t>
  </si>
  <si>
    <t>Particulars</t>
  </si>
  <si>
    <t>Case 1</t>
  </si>
  <si>
    <t>No Surcharge case   </t>
  </si>
  <si>
    <t>Case 2  </t>
  </si>
  <si>
    <t>Surcharge case  </t>
  </si>
  <si>
    <t>Total Income    </t>
  </si>
  <si>
    <t>40,00,000</t>
  </si>
  <si>
    <t>60,00,000</t>
  </si>
  <si>
    <t>Tax </t>
  </si>
  <si>
    <t>10,12,500</t>
  </si>
  <si>
    <t>16,12,500</t>
  </si>
  <si>
    <t>Add: Surcharge @ 10%    </t>
  </si>
  <si>
    <t>1,61,250</t>
  </si>
  <si>
    <t>17,73,750</t>
  </si>
  <si>
    <t>Note: Health and Education Cess of 4% is ignored</t>
  </si>
  <si>
    <t>  Income Slab</t>
  </si>
  <si>
    <t>Tax rate</t>
  </si>
  <si>
    <t>Tax amount</t>
  </si>
  <si>
    <t>Upto Rs. 2.50 Lakh</t>
  </si>
  <si>
    <t>Nil</t>
  </si>
  <si>
    <t>Rs. 2.5L to Rs. 5L (Rs. 2,50,000)</t>
  </si>
  <si>
    <t>Rs. 5L - Rs. 10L (Rs. 5,00,000)</t>
  </si>
  <si>
    <t>1,00,000</t>
  </si>
  <si>
    <t>Above Rs. 10 Lakh</t>
  </si>
  <si>
    <t>For Rs. 40L = 40-10 = Rs. 30L</t>
  </si>
  <si>
    <t>9,00,000</t>
  </si>
  <si>
    <t>For Rs. 60L = 60-10 = Rs. 50L</t>
  </si>
  <si>
    <t>15,00,000</t>
  </si>
  <si>
    <t>Total Tax for Rs. 40 Lakh income</t>
  </si>
  <si>
    <t>The above table exhibits how to compute the tax and surcharge on tax.</t>
  </si>
  <si>
    <t>Surcharge Calculation : in the case of individuals where tax is computed on a slab basis, the surcharge is computed in the manner given below-</t>
  </si>
  <si>
    <t>Total Tax for Rs. 60 Lakh income</t>
  </si>
  <si>
    <t>TOTAL (New Tax Regime)</t>
  </si>
  <si>
    <t>2024-25</t>
  </si>
  <si>
    <t>WITHOUT ARREARS</t>
  </si>
  <si>
    <t>with arrears</t>
  </si>
  <si>
    <t>With out arrears</t>
  </si>
  <si>
    <t>With arrears</t>
  </si>
  <si>
    <t>Old</t>
  </si>
  <si>
    <t>Part A</t>
  </si>
  <si>
    <t>Part B</t>
  </si>
  <si>
    <t>Financial Year 2014-2015</t>
  </si>
  <si>
    <t>Taxable Income</t>
  </si>
  <si>
    <t>Gender</t>
  </si>
  <si>
    <t>Ass Year 2015-16</t>
  </si>
  <si>
    <t>Basic Exemption</t>
  </si>
  <si>
    <t>Your Tax</t>
  </si>
  <si>
    <t>Cess @ 3%</t>
  </si>
  <si>
    <t>Financial Year 2013-2014</t>
  </si>
  <si>
    <t>Ass Year 2014-15</t>
  </si>
  <si>
    <t>2,00,000</t>
  </si>
  <si>
    <t>2,00,000,</t>
  </si>
  <si>
    <t>Financial Year 2012-2013</t>
  </si>
  <si>
    <t>Ass Year 2013-14</t>
  </si>
  <si>
    <t xml:space="preserve">PART A </t>
  </si>
  <si>
    <t>PART B</t>
  </si>
  <si>
    <t>Financial Year 2011-12</t>
  </si>
  <si>
    <t>Ass Year 2012-13</t>
  </si>
  <si>
    <t>Tax payable</t>
  </si>
  <si>
    <t>Financial Year 2010-11</t>
  </si>
  <si>
    <t xml:space="preserve"> Taxable Income</t>
  </si>
  <si>
    <t>Ass Year 2011-12</t>
  </si>
  <si>
    <t>Sr. Citizen =&gt;65 Years</t>
  </si>
  <si>
    <t>Financial Year 2009-10</t>
  </si>
  <si>
    <t>Ass Year 2010-11</t>
  </si>
  <si>
    <t>Financial Year 2008-09</t>
  </si>
  <si>
    <t>Ass Year 2009-10</t>
  </si>
  <si>
    <t>Surcharge @ 10%</t>
  </si>
  <si>
    <t>Financial Year 2007-08</t>
  </si>
  <si>
    <t>Ass Year 2008-09</t>
  </si>
  <si>
    <t>Financial Year 2006-07</t>
  </si>
  <si>
    <t>Ass Year 2007-08</t>
  </si>
  <si>
    <t>Cess @ 2%</t>
  </si>
  <si>
    <t>Financial Year 2005-06</t>
  </si>
  <si>
    <t>Ass Year 2006-07</t>
  </si>
  <si>
    <t>Financial Year 2004-05</t>
  </si>
  <si>
    <t>Ass Year 2005-06</t>
  </si>
  <si>
    <t>Financial Year 2003-04</t>
  </si>
  <si>
    <t>Ass Year 2004-05</t>
  </si>
  <si>
    <t>Financial Year 2002-03</t>
  </si>
  <si>
    <t>Ass Year 2003-04</t>
  </si>
  <si>
    <t>Financial Year 2001-02</t>
  </si>
  <si>
    <t>Ass Year 2002-03</t>
  </si>
  <si>
    <t>Surcharge @ 2%</t>
  </si>
  <si>
    <t>Financial Year 2000-01</t>
  </si>
  <si>
    <t>Ass Year 2001-02</t>
  </si>
  <si>
    <t>Surcharge @ 12%</t>
  </si>
  <si>
    <t>Financial Year 2023-2024</t>
  </si>
  <si>
    <t>Ass Year 2024-25</t>
  </si>
  <si>
    <t>Your Tax (Old Regime)</t>
  </si>
  <si>
    <t>Your Tax (New Regime)</t>
  </si>
  <si>
    <t>Sercharge above 50 Lakh to 1 Crore @ 10% &amp; Above 1 Crore @ 15% (As per Old Regime)</t>
  </si>
  <si>
    <t>Sercharge above 50 Lakh to 1 Crore @ 10% &amp; Above 1 Crore @ 15% (As per New Regime)</t>
  </si>
  <si>
    <t>New</t>
  </si>
  <si>
    <t>Cess @ 4% (Old Regime)</t>
  </si>
  <si>
    <t>Cess @ 4%</t>
  </si>
  <si>
    <t>Cess @ 4% (New Regime)</t>
  </si>
  <si>
    <t>Total Tax (Old Regime)</t>
  </si>
  <si>
    <t>Total Tax (New Regime)</t>
  </si>
  <si>
    <t>Taxable Income FY 2023-24</t>
  </si>
  <si>
    <t>New Slabs</t>
  </si>
  <si>
    <t>Rebate 87A</t>
  </si>
  <si>
    <t>Tax after Rebate</t>
  </si>
  <si>
    <t>INCOME TAX SLAB FOR A.Y.2024-25 IN NEW REGIME</t>
  </si>
  <si>
    <t>New Tax Regime Ass Yr 2024-25</t>
  </si>
  <si>
    <t>Slab (Lower)</t>
  </si>
  <si>
    <t>Slab (Upper)</t>
  </si>
  <si>
    <t>New Rates</t>
  </si>
  <si>
    <t>Slab Amount (New)</t>
  </si>
  <si>
    <t>Tax (New)</t>
  </si>
  <si>
    <t xml:space="preserve">Tax </t>
  </si>
  <si>
    <t>4% Edu &amp; Cess</t>
  </si>
  <si>
    <t>Total Taxes</t>
  </si>
  <si>
    <t>Cess</t>
  </si>
  <si>
    <t>Financial Year 2022-2023</t>
  </si>
  <si>
    <t>Ass Year 2023-24</t>
  </si>
  <si>
    <t>Your Tax ( New Regime)</t>
  </si>
  <si>
    <t>Cess @ 4% (Old Tax Regime)</t>
  </si>
  <si>
    <t>Total Tax (Old Tax Regime)</t>
  </si>
  <si>
    <t>Total Tax ( New Tax Regime)</t>
  </si>
  <si>
    <t>Financial Year 2021-2022</t>
  </si>
  <si>
    <t>Ass Year 2022-23</t>
  </si>
  <si>
    <t>Financial Year 2020-2021</t>
  </si>
  <si>
    <t>Ass Year 2021-22</t>
  </si>
  <si>
    <t>Financial Year 2019-2020</t>
  </si>
  <si>
    <t>Ass Year 2020-21</t>
  </si>
  <si>
    <t>Financial Year 2018-2019</t>
  </si>
  <si>
    <t>Ass Year 2019-20</t>
  </si>
  <si>
    <t>Financial Year 2017-2018</t>
  </si>
  <si>
    <t>Ass Year 2018-19</t>
  </si>
  <si>
    <t>Financial Year 2016-2017</t>
  </si>
  <si>
    <t>Ass Year 2017-18</t>
  </si>
  <si>
    <t>Financial Year 2015-2016</t>
  </si>
  <si>
    <t>Ass Year 2016-17</t>
  </si>
  <si>
    <t>Old Tax regime</t>
  </si>
  <si>
    <t>TOTAL (old Tax Regime)</t>
  </si>
  <si>
    <t>Cess @ 3%/Cess @ 4% (New Tax Regime)</t>
  </si>
  <si>
    <t>WITHARREARS</t>
  </si>
  <si>
    <t>Old regime with arrears</t>
  </si>
  <si>
    <t>Old regime without arrears</t>
  </si>
  <si>
    <t>TOTAL (old Tax Regime without arrears)</t>
  </si>
  <si>
    <t>New Tax with arrears</t>
  </si>
  <si>
    <t>DOB</t>
  </si>
  <si>
    <t>Arrears Received in Relevant FY</t>
  </si>
  <si>
    <t>Own (Self-Occupied)</t>
  </si>
  <si>
    <t>IT SLAB</t>
  </si>
  <si>
    <t>DA Cash wef</t>
  </si>
  <si>
    <t>DA Rates</t>
  </si>
  <si>
    <t>AS on</t>
  </si>
  <si>
    <t>PHCbelow 2000</t>
  </si>
  <si>
    <t>XXX</t>
  </si>
  <si>
    <t>check updated softwares &gt;WWW.MEDAKBADI.IN</t>
  </si>
  <si>
    <t>CPS -10%</t>
  </si>
  <si>
    <t>if CPS 90%</t>
  </si>
  <si>
    <t>To be retire</t>
  </si>
  <si>
    <t>To get relief U/s 89 for FY 2024-25 calculation as follows</t>
  </si>
  <si>
    <t>Reference DA arrears</t>
  </si>
  <si>
    <t>Claimed CPS-90% amount</t>
  </si>
  <si>
    <t>Instals</t>
  </si>
  <si>
    <t>No of instal credit</t>
  </si>
  <si>
    <t>total CPS10%</t>
  </si>
  <si>
    <t>totalCPS-90%</t>
  </si>
  <si>
    <t>DA RATES</t>
  </si>
  <si>
    <t>Credit to GPF</t>
  </si>
  <si>
    <t>Credit to CPS90%</t>
  </si>
  <si>
    <t>credit to CPS10%</t>
  </si>
  <si>
    <t>Rent Type</t>
  </si>
  <si>
    <t>Enter credit CPS10%</t>
  </si>
  <si>
    <t>Owner PAN No</t>
  </si>
  <si>
    <t>DA rates</t>
  </si>
  <si>
    <t>Other DA Arrears 1</t>
  </si>
  <si>
    <t>Other DA Arrears 2</t>
  </si>
  <si>
    <t>TOTAL DA ARREARS</t>
  </si>
  <si>
    <t>CPS -90%</t>
  </si>
  <si>
    <t>UP TO GPF</t>
  </si>
  <si>
    <t>Total DA Arrears</t>
  </si>
  <si>
    <t>Total&gt;&gt;&gt;&gt;</t>
  </si>
  <si>
    <t>&gt;&gt;&gt; DA ARREARS &gt;&gt;&gt;</t>
  </si>
  <si>
    <t>Other Income Details Per Annum</t>
  </si>
  <si>
    <r>
      <t xml:space="preserve">Prepared by 
(WWW.MEDAKBADI.IN)
</t>
    </r>
    <r>
      <rPr>
        <b/>
        <sz val="9"/>
        <color theme="0"/>
        <rFont val="Algerian"/>
        <family val="5"/>
      </rPr>
      <t>KOTA VIJAYAKUMAR,
GHMGr-II,
ZPHS KOTHLAPUR,
MDL&amp;DIST:SANGAREDDY</t>
    </r>
  </si>
  <si>
    <t>if any other arrears received in FY 2024-25</t>
  </si>
  <si>
    <t>Category (Age):</t>
  </si>
  <si>
    <t>No Change</t>
  </si>
  <si>
    <t>ZPHS Marepally</t>
  </si>
  <si>
    <t>Total D.A Arrears Claimed</t>
  </si>
  <si>
    <t>Total GPF</t>
  </si>
  <si>
    <t>Enter,GPF Credit Amount Rs.</t>
  </si>
  <si>
    <t>Max Allowed</t>
  </si>
  <si>
    <t>Adv.Tax of respective month If not paid</t>
  </si>
  <si>
    <t>Total to be paid</t>
  </si>
  <si>
    <t>24,00,000+</t>
  </si>
  <si>
    <t>Tax Rebate U/S 87A (Max Rs.60,000)</t>
  </si>
  <si>
    <t>Calculated tax after rebate</t>
  </si>
  <si>
    <t>Calculated tax after marginal Relief</t>
  </si>
  <si>
    <t>Rebate under section 87A/Marginal relief</t>
  </si>
  <si>
    <t>FY 2025-26</t>
  </si>
  <si>
    <t>Claimed Instals    (90%)</t>
  </si>
  <si>
    <t>Total Tax Payable (13+14)</t>
  </si>
  <si>
    <t>Actual rent paid-10% of salary</t>
  </si>
  <si>
    <t>50% /40% of salary (BP+DA)</t>
  </si>
  <si>
    <t>Actual Rent paid</t>
  </si>
  <si>
    <t>Exemption from Conveyance Allowance U/s. 10(14) (i)</t>
  </si>
  <si>
    <t>Amount of any other exemption under section 10</t>
  </si>
  <si>
    <t>Standard deduction under section 16(ia)</t>
  </si>
  <si>
    <t xml:space="preserve">Tax on employment under section 16(iii) </t>
  </si>
  <si>
    <t xml:space="preserve"> Income chargeable under the head "Salaries" [(1-(2+3)] </t>
  </si>
  <si>
    <t>Income from house property</t>
  </si>
  <si>
    <t>Municipal Taxes paid on house</t>
  </si>
  <si>
    <t>Annual Rent Received from House Property</t>
  </si>
  <si>
    <t>a</t>
  </si>
  <si>
    <t>c</t>
  </si>
  <si>
    <t>b</t>
  </si>
  <si>
    <t>d</t>
  </si>
  <si>
    <t>Municipal Tax Paid</t>
  </si>
  <si>
    <t xml:space="preserve">Add: Any other income reported by the employee under as per section 192 (2B) </t>
  </si>
  <si>
    <t>Amount deductible under other provision(s) of Chapter VI‐A</t>
  </si>
  <si>
    <t>Aggregate of deductible amount under Chapter VI-A</t>
  </si>
  <si>
    <t>PAN No</t>
  </si>
  <si>
    <t>Net Taxable Income (7-9) (As per U/s 288 A-rounded to nearest Rs.10/-)</t>
  </si>
  <si>
    <t>Gross total income (4+5+6)</t>
  </si>
  <si>
    <t>Gross</t>
  </si>
  <si>
    <t>Deductible</t>
  </si>
  <si>
    <t>Dearness Allowance</t>
  </si>
  <si>
    <t>Actual HRA received</t>
  </si>
  <si>
    <t xml:space="preserve">TAX </t>
  </si>
  <si>
    <t>TAX</t>
  </si>
  <si>
    <t>Total Deduction (U/s 80 C)</t>
  </si>
  <si>
    <t xml:space="preserve">Less: Deductions under section 16  [3(a)+3(b)+3(c)] </t>
  </si>
  <si>
    <r>
      <t xml:space="preserve">Programme Prepared by  ( </t>
    </r>
    <r>
      <rPr>
        <b/>
        <sz val="8"/>
        <rFont val="Arial Narrow"/>
        <family val="2"/>
      </rPr>
      <t>WWW.MEDAKBADI.IN</t>
    </r>
    <r>
      <rPr>
        <sz val="8"/>
        <rFont val="Arial Narrow"/>
        <family val="2"/>
      </rPr>
      <t xml:space="preserve">)   K.VIJAYAKUMAR, GHM GR-II,  ZPHS KOTHLAPUR,SANGAREDDY DIST  </t>
    </r>
  </si>
  <si>
    <t>Less: Allowance to the extent exempt U/s 10 (2a+2b+2c)</t>
  </si>
  <si>
    <t>Gross Salary</t>
  </si>
  <si>
    <t xml:space="preserve">Entertainment allowance under section 16(ii) </t>
  </si>
  <si>
    <t>Marginal Relief</t>
  </si>
  <si>
    <t>2025-26</t>
  </si>
  <si>
    <t>Tax Rebate u/s 87 A/M.R</t>
  </si>
  <si>
    <t>24.10.2025</t>
  </si>
  <si>
    <t>24.06.2025</t>
  </si>
  <si>
    <t>Mar-2025</t>
  </si>
  <si>
    <t>Dec-2025</t>
  </si>
  <si>
    <t>Sep-2025</t>
  </si>
  <si>
    <t>Auto selection</t>
  </si>
  <si>
    <t>DDOs must issue Form-16 to employees by 15th June of the assessment year, strictly by downloading it from the TRACES web portal. Failure to do so may attract a penalty of ₹100 per day per employee under Section 272A(2)(g) of the Income Tax Act. Timely issuance ensures compliance and avoids penal action.</t>
  </si>
  <si>
    <t xml:space="preserve">CPS-90% </t>
  </si>
  <si>
    <t>30% as Maintenance (c=(a-b) X 30%)</t>
  </si>
  <si>
    <r>
      <rPr>
        <b/>
        <sz val="12"/>
        <color theme="1"/>
        <rFont val="Calibri"/>
        <family val="2"/>
        <scheme val="minor"/>
      </rPr>
      <t>Choose your option below:</t>
    </r>
    <r>
      <rPr>
        <sz val="11"/>
        <color theme="1"/>
        <rFont val="Calibri"/>
        <family val="2"/>
        <scheme val="minor"/>
      </rPr>
      <t xml:space="preserve"> Old or New Tax Regime for the Financial Years 2020–21 to 2024-25</t>
    </r>
  </si>
  <si>
    <t>conditional Just for hide in trail after delete</t>
  </si>
  <si>
    <t>Other 
Arrears-1</t>
  </si>
  <si>
    <t>Other 
Arrears-2</t>
  </si>
  <si>
    <t>Aug-2025</t>
  </si>
  <si>
    <t>Addl Incre</t>
  </si>
  <si>
    <t>APGLI</t>
  </si>
  <si>
    <t>Max Limit</t>
  </si>
  <si>
    <t>HRA MAX</t>
  </si>
  <si>
    <t>Secret HoDs</t>
  </si>
  <si>
    <t>GVMC</t>
  </si>
  <si>
    <t>for TS Enter left &gt;&gt;=AU37*100</t>
  </si>
  <si>
    <t>01-03-2025</t>
  </si>
  <si>
    <t>RPS-2020 Arrears @ month</t>
  </si>
  <si>
    <t>&gt;&gt;</t>
  </si>
  <si>
    <t>IF(DATA!AR43="N.A","","As per Software (D.A-"&amp;EQ2&amp;"%) &gt;&gt;"&amp;IF(NOT(BD42=2),"Total D.A arrears:"&amp;AU43&amp;", GPF DA:"&amp;AZ43,"Total D.A arrears-"&amp;DATA!BD43&amp;", CPS 10%- "&amp;BA43&amp;", CPS-90% ("&amp;AY43&amp;" instals/"&amp;AX43&amp;") -"&amp;BB43))</t>
  </si>
  <si>
    <t>To find type ,Enter D.O.B</t>
  </si>
  <si>
    <r>
      <t xml:space="preserve">Form 12BB must be submitted by the employee to their employer, who will use the information provided in the form to calculate the tax to be deducted from the employee's salary.
</t>
    </r>
    <r>
      <rPr>
        <b/>
        <u/>
        <sz val="10"/>
        <color theme="0"/>
        <rFont val="Rockwell"/>
        <family val="1"/>
      </rPr>
      <t>Hence no need to submit this form to STO/PAO along with bills</t>
    </r>
  </si>
  <si>
    <t>APGLI Type</t>
  </si>
  <si>
    <t>On above  Slab Type ,Choosing ‘Auto Selection’ will automatically pick the best slab for you.</t>
  </si>
  <si>
    <t>xyz</t>
  </si>
  <si>
    <t>Jan-2026</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</si>
</sst>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18">
    <numFmt numFmtId="41" formatCode="_ * #,##0_ ;_ * \-#,##0_ ;_ * &quot;-&quot;_ ;_ @_ "/>
    <numFmt numFmtId="43" formatCode="_ * #,##0.00_ ;_ * \-#,##0.00_ ;_ * &quot;-&quot;??_ ;_ @_ "/>
    <numFmt numFmtId="164" formatCode="_-* #,##0_-;\-* #,##0_-;_-* &quot;-&quot;_-;_-@_-"/>
    <numFmt numFmtId="165" formatCode="_(* #,##0_);_(* \(#,##0\);_(* &quot;-&quot;??_);_(@_)"/>
    <numFmt numFmtId="166" formatCode="0;[Red]0"/>
    <numFmt numFmtId="167" formatCode="_(* #,##0.00_);_(* \(#,##0.00\);_(* &quot;-&quot;??_);_(@_)"/>
    <numFmt numFmtId="168" formatCode="#,##0_ ;\-#,##0\ "/>
    <numFmt numFmtId="169" formatCode="_(* #,##0_);_(* \(#,##0\);_(* &quot;-&quot;_);_(@_)"/>
    <numFmt numFmtId="170" formatCode="&quot;₹&quot;"/>
    <numFmt numFmtId="171" formatCode="_-* #,##0_-;\-* #,##0_-;_-* &quot;-&quot;??_-;_-@_-"/>
    <numFmt numFmtId="172" formatCode="_(&quot;$&quot;* #,##0.00_);_(&quot;$&quot;* \(#,##0.00\);_(&quot;$&quot;* &quot;-&quot;??_);_(@_)"/>
    <numFmt numFmtId="173" formatCode="mmm/yyyy"/>
    <numFmt numFmtId="174" formatCode="[$-409]d\-mmm\-yy;@"/>
    <numFmt numFmtId="175" formatCode="_ * #,##0.000_ ;_ * \-#,##0.000_ ;_ * &quot;-&quot;???_ ;_ @_ "/>
    <numFmt numFmtId="176" formatCode="0.000"/>
    <numFmt numFmtId="177" formatCode="00"/>
    <numFmt numFmtId="178" formatCode="0.0000"/>
    <numFmt numFmtId="179" formatCode="0.0"/>
  </numFmts>
  <fonts count="203" x14ac:knownFonts="1">
    <font>
      <sz val="11"/>
      <color theme="1"/>
      <name val="Calibri"/>
      <family val="2"/>
      <scheme val="minor"/>
    </font>
    <font>
      <sz val="12"/>
      <color theme="1"/>
      <name val="Calibri"/>
      <family val="2"/>
      <scheme val="minor"/>
    </font>
    <font>
      <sz val="12"/>
      <color theme="1"/>
      <name val="Calibri"/>
      <family val="2"/>
      <scheme val="minor"/>
    </font>
    <font>
      <sz val="12"/>
      <color theme="1"/>
      <name val="Calibri"/>
      <family val="2"/>
      <scheme val="minor"/>
    </font>
    <font>
      <sz val="11"/>
      <color theme="1"/>
      <name val="Calibri"/>
      <family val="2"/>
      <scheme val="minor"/>
    </font>
    <font>
      <sz val="10"/>
      <color theme="1"/>
      <name val="Calibri"/>
      <family val="2"/>
      <scheme val="minor"/>
    </font>
    <font>
      <b/>
      <sz val="10"/>
      <name val="Calibri"/>
      <family val="2"/>
      <scheme val="minor"/>
    </font>
    <font>
      <sz val="8"/>
      <name val="Calibri"/>
      <family val="2"/>
      <scheme val="minor"/>
    </font>
    <font>
      <b/>
      <sz val="8"/>
      <name val="Segoe UI Emoji"/>
      <family val="2"/>
    </font>
    <font>
      <sz val="9"/>
      <color theme="1"/>
      <name val="Calibri"/>
      <family val="2"/>
      <scheme val="minor"/>
    </font>
    <font>
      <b/>
      <sz val="12"/>
      <name val="Calibri"/>
      <family val="2"/>
      <scheme val="minor"/>
    </font>
    <font>
      <sz val="8"/>
      <color theme="1"/>
      <name val="Calibri"/>
      <family val="2"/>
      <scheme val="minor"/>
    </font>
    <font>
      <sz val="10"/>
      <name val="Arial"/>
      <family val="2"/>
    </font>
    <font>
      <b/>
      <sz val="10"/>
      <name val="Segoe UI Emoji"/>
      <family val="2"/>
    </font>
    <font>
      <b/>
      <sz val="9"/>
      <name val="Segoe UI Emoji"/>
      <family val="2"/>
    </font>
    <font>
      <u/>
      <sz val="11"/>
      <color theme="10"/>
      <name val="Calibri"/>
      <family val="2"/>
      <scheme val="minor"/>
    </font>
    <font>
      <b/>
      <sz val="11"/>
      <color theme="1"/>
      <name val="Calibri"/>
      <family val="2"/>
      <scheme val="minor"/>
    </font>
    <font>
      <b/>
      <sz val="8"/>
      <color theme="1"/>
      <name val="Segoe UI Emoji"/>
      <family val="2"/>
    </font>
    <font>
      <sz val="12"/>
      <color theme="1"/>
      <name val="Calibri"/>
      <family val="2"/>
      <scheme val="minor"/>
    </font>
    <font>
      <sz val="12"/>
      <name val="Calibri"/>
      <family val="2"/>
      <scheme val="minor"/>
    </font>
    <font>
      <b/>
      <sz val="10"/>
      <color theme="1"/>
      <name val="Calibri"/>
      <family val="2"/>
      <scheme val="minor"/>
    </font>
    <font>
      <sz val="12"/>
      <name val="Book Antiqua"/>
      <family val="1"/>
    </font>
    <font>
      <b/>
      <sz val="11"/>
      <name val="Book Antiqua"/>
      <family val="1"/>
    </font>
    <font>
      <b/>
      <sz val="12"/>
      <name val="Book Antiqua"/>
      <family val="1"/>
    </font>
    <font>
      <b/>
      <u/>
      <sz val="11"/>
      <name val="Book Antiqua"/>
      <family val="1"/>
    </font>
    <font>
      <b/>
      <i/>
      <sz val="12"/>
      <name val="Book Antiqua"/>
      <family val="1"/>
    </font>
    <font>
      <sz val="12"/>
      <color theme="1"/>
      <name val="Book Antiqua"/>
      <family val="1"/>
    </font>
    <font>
      <sz val="11"/>
      <color theme="1"/>
      <name val="Book Antiqua"/>
      <family val="1"/>
    </font>
    <font>
      <b/>
      <sz val="12"/>
      <color theme="1"/>
      <name val="Book Antiqua"/>
      <family val="1"/>
    </font>
    <font>
      <sz val="10"/>
      <color theme="1"/>
      <name val="Book Antiqua"/>
      <family val="1"/>
    </font>
    <font>
      <sz val="11"/>
      <name val="Book Antiqua"/>
      <family val="1"/>
    </font>
    <font>
      <b/>
      <sz val="11"/>
      <color theme="1"/>
      <name val="Book Antiqua"/>
      <family val="1"/>
    </font>
    <font>
      <b/>
      <sz val="13"/>
      <color theme="1"/>
      <name val="Book Antiqua"/>
      <family val="1"/>
    </font>
    <font>
      <b/>
      <sz val="14"/>
      <color theme="1"/>
      <name val="Book Antiqua"/>
      <family val="1"/>
    </font>
    <font>
      <sz val="12"/>
      <color theme="1"/>
      <name val="Times New Roman"/>
      <family val="1"/>
    </font>
    <font>
      <sz val="12"/>
      <name val="Times New Roman"/>
      <family val="1"/>
    </font>
    <font>
      <b/>
      <sz val="13"/>
      <name val="Book Antiqua"/>
      <family val="1"/>
    </font>
    <font>
      <sz val="11"/>
      <color theme="1"/>
      <name val="Times New Roman"/>
      <family val="1"/>
    </font>
    <font>
      <sz val="14"/>
      <name val="Book Antiqua"/>
      <family val="1"/>
    </font>
    <font>
      <b/>
      <u/>
      <sz val="8"/>
      <name val="Arial Narrow"/>
      <family val="2"/>
    </font>
    <font>
      <b/>
      <sz val="10"/>
      <name val="Arial Narrow"/>
      <family val="2"/>
    </font>
    <font>
      <b/>
      <u/>
      <sz val="13"/>
      <name val="Book Antiqua"/>
      <family val="1"/>
    </font>
    <font>
      <b/>
      <sz val="12"/>
      <color theme="1"/>
      <name val="Arial"/>
      <family val="2"/>
    </font>
    <font>
      <b/>
      <sz val="12"/>
      <name val="Arial"/>
      <family val="2"/>
    </font>
    <font>
      <b/>
      <sz val="11"/>
      <color theme="1"/>
      <name val="Arial"/>
      <family val="2"/>
    </font>
    <font>
      <sz val="14"/>
      <color theme="1"/>
      <name val="Book Antiqua"/>
      <family val="1"/>
    </font>
    <font>
      <sz val="12"/>
      <name val="Arial"/>
      <family val="2"/>
    </font>
    <font>
      <sz val="11"/>
      <name val="Arial"/>
      <family val="2"/>
    </font>
    <font>
      <b/>
      <sz val="14"/>
      <color indexed="8"/>
      <name val="Book Antiqua"/>
      <family val="1"/>
    </font>
    <font>
      <b/>
      <sz val="13"/>
      <color indexed="8"/>
      <name val="Book Antiqua"/>
      <family val="1"/>
    </font>
    <font>
      <b/>
      <sz val="11"/>
      <color indexed="8"/>
      <name val="Book Antiqua"/>
      <family val="1"/>
    </font>
    <font>
      <b/>
      <sz val="10"/>
      <color indexed="8"/>
      <name val="Book Antiqua"/>
      <family val="1"/>
    </font>
    <font>
      <sz val="12"/>
      <color indexed="8"/>
      <name val="Book Antiqua"/>
      <family val="1"/>
    </font>
    <font>
      <sz val="12"/>
      <color indexed="22"/>
      <name val="Book Antiqua"/>
      <family val="1"/>
    </font>
    <font>
      <sz val="10"/>
      <color indexed="8"/>
      <name val="Book Antiqua"/>
      <family val="1"/>
    </font>
    <font>
      <sz val="13"/>
      <color theme="1"/>
      <name val="Book Antiqua"/>
      <family val="1"/>
    </font>
    <font>
      <b/>
      <sz val="12"/>
      <color indexed="8"/>
      <name val="Book Antiqua"/>
      <family val="1"/>
    </font>
    <font>
      <sz val="11.5"/>
      <color theme="1"/>
      <name val="Book Antiqua"/>
      <family val="1"/>
    </font>
    <font>
      <b/>
      <sz val="12"/>
      <color theme="1"/>
      <name val="Times New Roman"/>
      <family val="1"/>
    </font>
    <font>
      <b/>
      <sz val="10"/>
      <color theme="1"/>
      <name val="Times New Roman"/>
      <family val="1"/>
    </font>
    <font>
      <b/>
      <sz val="11"/>
      <color theme="1"/>
      <name val="Times New Roman"/>
      <family val="1"/>
    </font>
    <font>
      <sz val="10.5"/>
      <color theme="1"/>
      <name val="Times New Roman"/>
      <family val="1"/>
    </font>
    <font>
      <sz val="11"/>
      <color rgb="FFFF0000"/>
      <name val="Calibri"/>
      <family val="2"/>
      <scheme val="minor"/>
    </font>
    <font>
      <sz val="11"/>
      <name val="Calibri"/>
      <family val="2"/>
      <scheme val="minor"/>
    </font>
    <font>
      <sz val="7"/>
      <name val="Arial Narrow"/>
      <family val="2"/>
    </font>
    <font>
      <b/>
      <sz val="11"/>
      <color theme="0"/>
      <name val="Calibri"/>
      <family val="2"/>
      <scheme val="minor"/>
    </font>
    <font>
      <sz val="10"/>
      <color theme="1"/>
      <name val="Times New Roman"/>
      <family val="1"/>
    </font>
    <font>
      <sz val="10"/>
      <name val="Times New Roman"/>
      <family val="1"/>
    </font>
    <font>
      <b/>
      <sz val="8"/>
      <color theme="1"/>
      <name val="Times New Roman"/>
      <family val="1"/>
    </font>
    <font>
      <b/>
      <sz val="14"/>
      <name val="Times New Roman"/>
      <family val="1"/>
    </font>
    <font>
      <sz val="11"/>
      <name val="Verdana"/>
      <family val="2"/>
    </font>
    <font>
      <sz val="12"/>
      <color indexed="8"/>
      <name val="Calibri"/>
      <family val="2"/>
    </font>
    <font>
      <sz val="12"/>
      <color indexed="8"/>
      <name val="Times New Roman"/>
      <family val="1"/>
    </font>
    <font>
      <sz val="10"/>
      <color indexed="8"/>
      <name val="Times New Roman"/>
      <family val="1"/>
    </font>
    <font>
      <sz val="14"/>
      <name val="Times New Roman"/>
      <family val="1"/>
    </font>
    <font>
      <sz val="16"/>
      <color indexed="8"/>
      <name val="Algerian"/>
      <family val="5"/>
    </font>
    <font>
      <sz val="18"/>
      <color indexed="8"/>
      <name val="Calibri"/>
      <family val="2"/>
    </font>
    <font>
      <sz val="16"/>
      <name val="Calibri"/>
      <family val="2"/>
      <scheme val="minor"/>
    </font>
    <font>
      <sz val="14"/>
      <color indexed="8"/>
      <name val="Arial"/>
      <family val="2"/>
    </font>
    <font>
      <b/>
      <sz val="9"/>
      <color theme="1"/>
      <name val="Times New Roman"/>
      <family val="1"/>
    </font>
    <font>
      <b/>
      <sz val="10"/>
      <color theme="1"/>
      <name val="Book Antiqua"/>
      <family val="1"/>
    </font>
    <font>
      <sz val="8"/>
      <color theme="1"/>
      <name val="Book Antiqua"/>
      <family val="1"/>
    </font>
    <font>
      <sz val="8"/>
      <color indexed="8"/>
      <name val="Book Antiqua"/>
      <family val="1"/>
    </font>
    <font>
      <b/>
      <sz val="11"/>
      <color theme="0"/>
      <name val="Times New Roman"/>
      <family val="1"/>
    </font>
    <font>
      <sz val="9"/>
      <color theme="1"/>
      <name val="Times New Roman"/>
      <family val="1"/>
    </font>
    <font>
      <sz val="9"/>
      <color indexed="8"/>
      <name val="Arial"/>
      <family val="2"/>
    </font>
    <font>
      <sz val="11"/>
      <color theme="0"/>
      <name val="Calibri"/>
      <family val="2"/>
      <scheme val="minor"/>
    </font>
    <font>
      <b/>
      <sz val="12"/>
      <color theme="1"/>
      <name val="Calibri"/>
      <family val="2"/>
      <scheme val="minor"/>
    </font>
    <font>
      <sz val="14"/>
      <color theme="1"/>
      <name val="Calibri"/>
      <family val="2"/>
      <scheme val="minor"/>
    </font>
    <font>
      <b/>
      <sz val="16"/>
      <name val="Arial"/>
      <family val="2"/>
    </font>
    <font>
      <b/>
      <sz val="11"/>
      <name val="Arial"/>
      <family val="2"/>
    </font>
    <font>
      <sz val="11.5"/>
      <name val="Arial"/>
      <family val="2"/>
    </font>
    <font>
      <b/>
      <sz val="11.5"/>
      <name val="Arial"/>
      <family val="2"/>
    </font>
    <font>
      <b/>
      <u/>
      <sz val="11.5"/>
      <name val="Arial"/>
      <family val="2"/>
    </font>
    <font>
      <sz val="11.5"/>
      <color theme="1"/>
      <name val="Calibri"/>
      <family val="2"/>
      <scheme val="minor"/>
    </font>
    <font>
      <sz val="12.5"/>
      <color theme="1"/>
      <name val="Calibri"/>
      <family val="2"/>
      <scheme val="minor"/>
    </font>
    <font>
      <b/>
      <sz val="11"/>
      <name val="Calibri"/>
      <family val="2"/>
      <scheme val="minor"/>
    </font>
    <font>
      <b/>
      <sz val="10"/>
      <name val="Arial"/>
      <family val="2"/>
    </font>
    <font>
      <b/>
      <sz val="12.5"/>
      <color theme="1"/>
      <name val="Calibri"/>
      <family val="2"/>
      <scheme val="minor"/>
    </font>
    <font>
      <sz val="9"/>
      <name val="Arial"/>
      <family val="2"/>
    </font>
    <font>
      <sz val="16"/>
      <color theme="1"/>
      <name val="Times New Roman"/>
      <family val="1"/>
    </font>
    <font>
      <b/>
      <sz val="11"/>
      <color theme="1"/>
      <name val="Bahnschrift Light SemiCondensed"/>
      <family val="2"/>
    </font>
    <font>
      <sz val="11"/>
      <color theme="1"/>
      <name val="Arial"/>
      <family val="2"/>
    </font>
    <font>
      <sz val="9"/>
      <color theme="1"/>
      <name val="Arial Narrow"/>
      <family val="2"/>
    </font>
    <font>
      <b/>
      <sz val="10"/>
      <color theme="1"/>
      <name val="Verdana"/>
      <family val="2"/>
    </font>
    <font>
      <b/>
      <sz val="9"/>
      <color theme="1"/>
      <name val="Book Antiqua"/>
      <family val="1"/>
    </font>
    <font>
      <sz val="9"/>
      <color theme="1"/>
      <name val="Book Antiqua"/>
      <family val="1"/>
    </font>
    <font>
      <sz val="8"/>
      <color theme="1"/>
      <name val="Arial Narrow"/>
      <family val="2"/>
    </font>
    <font>
      <sz val="10"/>
      <name val="Calibri"/>
      <family val="2"/>
      <scheme val="minor"/>
    </font>
    <font>
      <sz val="10"/>
      <color theme="1"/>
      <name val="Arial"/>
      <family val="2"/>
    </font>
    <font>
      <b/>
      <sz val="9"/>
      <color indexed="81"/>
      <name val="Tahoma"/>
      <family val="2"/>
    </font>
    <font>
      <b/>
      <sz val="7"/>
      <color indexed="81"/>
      <name val="Arial Narrow"/>
      <family val="2"/>
    </font>
    <font>
      <b/>
      <sz val="10"/>
      <color theme="0"/>
      <name val="Times New Roman"/>
      <family val="1"/>
    </font>
    <font>
      <sz val="11"/>
      <color rgb="FFFF0000"/>
      <name val="Times New Roman"/>
      <family val="1"/>
    </font>
    <font>
      <sz val="10"/>
      <color theme="1"/>
      <name val="Arial Narrow"/>
      <family val="2"/>
    </font>
    <font>
      <sz val="10"/>
      <color theme="1"/>
      <name val="Verdana"/>
      <family val="2"/>
    </font>
    <font>
      <b/>
      <sz val="9"/>
      <color theme="1"/>
      <name val="Calibri"/>
      <family val="2"/>
      <scheme val="minor"/>
    </font>
    <font>
      <sz val="11"/>
      <color theme="0" tint="-0.499984740745262"/>
      <name val="Calibri"/>
      <family val="2"/>
      <scheme val="minor"/>
    </font>
    <font>
      <sz val="13"/>
      <color theme="1"/>
      <name val="Calibri"/>
      <family val="2"/>
      <scheme val="minor"/>
    </font>
    <font>
      <sz val="11"/>
      <color theme="1"/>
      <name val="Arial Narrow"/>
      <family val="2"/>
    </font>
    <font>
      <sz val="10"/>
      <color theme="0"/>
      <name val="Calibri"/>
      <family val="2"/>
      <scheme val="minor"/>
    </font>
    <font>
      <b/>
      <sz val="7"/>
      <color theme="1"/>
      <name val="Arial Narrow"/>
      <family val="2"/>
    </font>
    <font>
      <b/>
      <sz val="9"/>
      <color theme="0"/>
      <name val="Times New Roman"/>
      <family val="1"/>
    </font>
    <font>
      <sz val="10.5"/>
      <color theme="1"/>
      <name val="Arial Narrow"/>
      <family val="2"/>
    </font>
    <font>
      <b/>
      <sz val="11"/>
      <color theme="1"/>
      <name val="Verdana"/>
      <family val="2"/>
    </font>
    <font>
      <b/>
      <sz val="9"/>
      <color theme="1"/>
      <name val="Verdana"/>
      <family val="2"/>
    </font>
    <font>
      <sz val="11"/>
      <color rgb="FFFF0000"/>
      <name val="Arial Narrow"/>
      <family val="2"/>
    </font>
    <font>
      <sz val="13"/>
      <color rgb="FFFF0000"/>
      <name val="Calibri"/>
      <family val="2"/>
      <scheme val="minor"/>
    </font>
    <font>
      <b/>
      <sz val="11"/>
      <color theme="0"/>
      <name val="Arial Narrow"/>
      <family val="2"/>
    </font>
    <font>
      <b/>
      <sz val="12"/>
      <color theme="0"/>
      <name val="Arial Narrow"/>
      <family val="2"/>
    </font>
    <font>
      <b/>
      <sz val="11"/>
      <color theme="2" tint="-0.499984740745262"/>
      <name val="Calibri"/>
      <family val="2"/>
      <scheme val="minor"/>
    </font>
    <font>
      <b/>
      <sz val="12"/>
      <color theme="2" tint="-0.499984740745262"/>
      <name val="Calibri"/>
      <family val="2"/>
      <scheme val="minor"/>
    </font>
    <font>
      <b/>
      <sz val="11"/>
      <color theme="1"/>
      <name val="Segoe UI Emoji"/>
      <family val="2"/>
    </font>
    <font>
      <b/>
      <sz val="9"/>
      <color theme="1"/>
      <name val="Rockwell"/>
      <family val="1"/>
    </font>
    <font>
      <b/>
      <sz val="11"/>
      <name val="Verdana"/>
      <family val="2"/>
    </font>
    <font>
      <b/>
      <sz val="12"/>
      <name val="Times New Roman"/>
      <family val="1"/>
    </font>
    <font>
      <sz val="10"/>
      <color theme="1"/>
      <name val="Sitka Subheading"/>
    </font>
    <font>
      <b/>
      <sz val="11"/>
      <color theme="0"/>
      <name val="Rockwell"/>
      <family val="1"/>
    </font>
    <font>
      <sz val="8"/>
      <color theme="1"/>
      <name val="Times New Roman"/>
      <family val="1"/>
    </font>
    <font>
      <b/>
      <sz val="12"/>
      <name val="Segoe UI Emoji"/>
      <family val="2"/>
    </font>
    <font>
      <b/>
      <sz val="14"/>
      <color theme="1"/>
      <name val="Baskerville Old Face"/>
      <family val="1"/>
    </font>
    <font>
      <b/>
      <sz val="10"/>
      <name val="Verdana"/>
      <family val="2"/>
    </font>
    <font>
      <b/>
      <sz val="11"/>
      <name val="Segoe UI Emoji"/>
      <family val="2"/>
    </font>
    <font>
      <sz val="10"/>
      <color theme="1"/>
      <name val="Rockwell Extra Bold"/>
      <family val="1"/>
    </font>
    <font>
      <b/>
      <sz val="11"/>
      <color theme="0" tint="-0.34998626667073579"/>
      <name val="Arial Narrow"/>
      <family val="2"/>
    </font>
    <font>
      <sz val="14"/>
      <color theme="1"/>
      <name val="Algerian"/>
      <family val="5"/>
    </font>
    <font>
      <b/>
      <u/>
      <sz val="14"/>
      <color rgb="FFFF0000"/>
      <name val="Times New Roman"/>
      <family val="1"/>
    </font>
    <font>
      <b/>
      <sz val="9"/>
      <name val="Times New Roman"/>
      <family val="1"/>
    </font>
    <font>
      <sz val="9"/>
      <color rgb="FF314259"/>
      <name val="Arial"/>
      <family val="2"/>
    </font>
    <font>
      <b/>
      <sz val="9"/>
      <color rgb="FF314259"/>
      <name val="Calibri"/>
      <family val="2"/>
      <scheme val="minor"/>
    </font>
    <font>
      <sz val="9"/>
      <color rgb="FF314259"/>
      <name val="Calibri"/>
      <family val="2"/>
      <scheme val="minor"/>
    </font>
    <font>
      <b/>
      <sz val="9"/>
      <color rgb="FF314259"/>
      <name val="Arial"/>
      <family val="2"/>
    </font>
    <font>
      <sz val="8"/>
      <color rgb="FF000000"/>
      <name val="Arial"/>
      <family val="2"/>
    </font>
    <font>
      <sz val="8"/>
      <color rgb="FF333333"/>
      <name val="Arial"/>
      <family val="2"/>
    </font>
    <font>
      <b/>
      <sz val="8"/>
      <color rgb="FF333333"/>
      <name val="Arial"/>
      <family val="2"/>
    </font>
    <font>
      <sz val="8"/>
      <color theme="1"/>
      <name val="Calibri"/>
      <family val="2"/>
      <scheme val="minor"/>
    </font>
    <font>
      <sz val="8"/>
      <color rgb="FF000000"/>
      <name val="Georgia"/>
      <family val="1"/>
    </font>
    <font>
      <sz val="10"/>
      <color rgb="FF000000"/>
      <name val="Georgia"/>
      <family val="1"/>
    </font>
    <font>
      <b/>
      <sz val="10"/>
      <color theme="1"/>
      <name val="Georgia"/>
      <family val="1"/>
    </font>
    <font>
      <sz val="10"/>
      <color theme="1"/>
      <name val="Georgia"/>
      <family val="1"/>
    </font>
    <font>
      <sz val="10"/>
      <color rgb="FF000000"/>
      <name val="Arial"/>
      <family val="2"/>
    </font>
    <font>
      <b/>
      <sz val="16"/>
      <color theme="1"/>
      <name val="Calibri"/>
      <family val="2"/>
      <scheme val="minor"/>
    </font>
    <font>
      <u/>
      <sz val="9"/>
      <color theme="0"/>
      <name val="Calibri"/>
      <family val="2"/>
      <scheme val="minor"/>
    </font>
    <font>
      <sz val="16"/>
      <color theme="1"/>
      <name val="Calibri"/>
      <family val="2"/>
      <scheme val="minor"/>
    </font>
    <font>
      <b/>
      <sz val="8"/>
      <color theme="1"/>
      <name val="Algerian"/>
      <family val="5"/>
    </font>
    <font>
      <b/>
      <sz val="10"/>
      <color theme="1"/>
      <name val="Segoe UI Emoji"/>
      <family val="2"/>
    </font>
    <font>
      <sz val="14"/>
      <color theme="2" tint="-9.9978637043366805E-2"/>
      <name val="Arial Narrow"/>
      <family val="2"/>
    </font>
    <font>
      <sz val="12"/>
      <color theme="2" tint="-9.9978637043366805E-2"/>
      <name val="Arial Narrow"/>
      <family val="2"/>
    </font>
    <font>
      <u/>
      <sz val="10"/>
      <color theme="7" tint="0.79998168889431442"/>
      <name val="Calibri"/>
      <family val="2"/>
      <scheme val="minor"/>
    </font>
    <font>
      <sz val="10"/>
      <color theme="7" tint="0.79998168889431442"/>
      <name val="Calibri"/>
      <family val="2"/>
      <scheme val="minor"/>
    </font>
    <font>
      <b/>
      <sz val="8"/>
      <color theme="1"/>
      <name val="Arial Narrow"/>
      <family val="2"/>
    </font>
    <font>
      <b/>
      <sz val="10"/>
      <color theme="0"/>
      <name val="Calibri"/>
      <family val="2"/>
      <scheme val="minor"/>
    </font>
    <font>
      <sz val="8"/>
      <color theme="0"/>
      <name val="Calibri"/>
      <family val="2"/>
      <scheme val="minor"/>
    </font>
    <font>
      <b/>
      <sz val="14"/>
      <color theme="1"/>
      <name val="Calibri"/>
      <family val="2"/>
      <scheme val="minor"/>
    </font>
    <font>
      <b/>
      <u/>
      <sz val="12"/>
      <color theme="10"/>
      <name val="Verdana"/>
      <family val="2"/>
    </font>
    <font>
      <b/>
      <sz val="12"/>
      <color theme="0" tint="-0.249977111117893"/>
      <name val="Arial Narrow"/>
      <family val="2"/>
    </font>
    <font>
      <b/>
      <sz val="10"/>
      <color theme="0"/>
      <name val="Algerian"/>
      <family val="5"/>
    </font>
    <font>
      <b/>
      <sz val="9"/>
      <color theme="0"/>
      <name val="Algerian"/>
      <family val="5"/>
    </font>
    <font>
      <sz val="11"/>
      <color theme="0" tint="-4.9989318521683403E-2"/>
      <name val="Calibri"/>
      <family val="2"/>
      <scheme val="minor"/>
    </font>
    <font>
      <b/>
      <sz val="8"/>
      <color theme="1"/>
      <name val="Calibri"/>
      <family val="2"/>
      <scheme val="minor"/>
    </font>
    <font>
      <b/>
      <sz val="10"/>
      <color theme="1"/>
      <name val="Arial Narrow"/>
      <family val="2"/>
    </font>
    <font>
      <sz val="6"/>
      <color theme="0"/>
      <name val="Calibri"/>
      <family val="2"/>
      <scheme val="minor"/>
    </font>
    <font>
      <sz val="8"/>
      <color theme="0"/>
      <name val="Arial Narrow"/>
      <family val="2"/>
    </font>
    <font>
      <b/>
      <u/>
      <sz val="8"/>
      <color theme="2" tint="-9.9978637043366805E-2"/>
      <name val="Arial Narrow"/>
      <family val="2"/>
    </font>
    <font>
      <sz val="8"/>
      <name val="Arial Narrow"/>
      <family val="2"/>
    </font>
    <font>
      <b/>
      <sz val="9.5"/>
      <color theme="1"/>
      <name val="Calibri"/>
      <family val="2"/>
      <scheme val="minor"/>
    </font>
    <font>
      <i/>
      <sz val="12"/>
      <color theme="1"/>
      <name val="Calibri"/>
      <family val="2"/>
      <scheme val="minor"/>
    </font>
    <font>
      <i/>
      <sz val="12"/>
      <name val="Calibri"/>
      <family val="2"/>
      <scheme val="minor"/>
    </font>
    <font>
      <b/>
      <sz val="8"/>
      <name val="Arial Narrow"/>
      <family val="2"/>
    </font>
    <font>
      <b/>
      <sz val="14"/>
      <name val="Calibri"/>
      <family val="2"/>
      <scheme val="minor"/>
    </font>
    <font>
      <i/>
      <sz val="11"/>
      <color theme="1"/>
      <name val="Calibri"/>
      <family val="2"/>
      <scheme val="minor"/>
    </font>
    <font>
      <i/>
      <sz val="11"/>
      <name val="Calibri"/>
      <family val="2"/>
      <scheme val="minor"/>
    </font>
    <font>
      <b/>
      <sz val="11"/>
      <color theme="1"/>
      <name val="Arial Rounded MT Bold"/>
      <family val="2"/>
    </font>
    <font>
      <b/>
      <sz val="14"/>
      <color theme="0"/>
      <name val="Tahoma"/>
      <family val="2"/>
    </font>
    <font>
      <b/>
      <sz val="12"/>
      <color theme="0"/>
      <name val="Tahoma"/>
      <family val="2"/>
    </font>
    <font>
      <b/>
      <sz val="12"/>
      <color theme="0"/>
      <name val="Calibri"/>
      <family val="2"/>
      <scheme val="minor"/>
    </font>
    <font>
      <b/>
      <sz val="10.5"/>
      <color theme="0"/>
      <name val="Arial Narrow"/>
      <family val="2"/>
    </font>
    <font>
      <b/>
      <sz val="11"/>
      <color theme="1" tint="0.14999847407452621"/>
      <name val="Calibri"/>
      <family val="2"/>
      <scheme val="minor"/>
    </font>
    <font>
      <sz val="11"/>
      <color theme="1" tint="0.14999847407452621"/>
      <name val="Calibri"/>
      <family val="2"/>
      <scheme val="minor"/>
    </font>
    <font>
      <b/>
      <sz val="8"/>
      <name val="Calibri"/>
      <family val="2"/>
      <scheme val="minor"/>
    </font>
    <font>
      <b/>
      <sz val="10"/>
      <color theme="0"/>
      <name val="Rockwell"/>
      <family val="1"/>
    </font>
    <font>
      <b/>
      <u/>
      <sz val="10"/>
      <color theme="0"/>
      <name val="Rockwell"/>
      <family val="1"/>
    </font>
    <font>
      <b/>
      <sz val="9.5"/>
      <color theme="1"/>
      <name val="Times New Roman"/>
      <family val="1"/>
    </font>
  </fonts>
  <fills count="39">
    <fill>
      <patternFill patternType="none"/>
    </fill>
    <fill>
      <patternFill patternType="gray125"/>
    </fill>
    <fill>
      <patternFill patternType="solid">
        <fgColor theme="7" tint="-0.499984740745262"/>
        <bgColor indexed="64"/>
      </patternFill>
    </fill>
    <fill>
      <patternFill patternType="solid">
        <fgColor theme="2"/>
        <bgColor indexed="64"/>
      </patternFill>
    </fill>
    <fill>
      <patternFill patternType="solid">
        <fgColor theme="5" tint="0.79998168889431442"/>
        <bgColor indexed="64"/>
      </patternFill>
    </fill>
    <fill>
      <patternFill patternType="solid">
        <fgColor theme="9" tint="0.79998168889431442"/>
        <bgColor indexed="64"/>
      </patternFill>
    </fill>
    <fill>
      <patternFill patternType="solid">
        <fgColor theme="8" tint="0.39997558519241921"/>
        <bgColor indexed="64"/>
      </patternFill>
    </fill>
    <fill>
      <patternFill patternType="solid">
        <fgColor theme="0"/>
        <bgColor indexed="64"/>
      </patternFill>
    </fill>
    <fill>
      <patternFill patternType="solid">
        <fgColor theme="7" tint="0.79998168889431442"/>
        <bgColor indexed="64"/>
      </patternFill>
    </fill>
    <fill>
      <patternFill patternType="solid">
        <fgColor rgb="FFFFFF00"/>
        <bgColor indexed="64"/>
      </patternFill>
    </fill>
    <fill>
      <patternFill patternType="solid">
        <fgColor theme="2" tint="-9.9978637043366805E-2"/>
        <bgColor indexed="64"/>
      </patternFill>
    </fill>
    <fill>
      <patternFill patternType="solid">
        <fgColor theme="8" tint="0.79998168889431442"/>
        <bgColor indexed="64"/>
      </patternFill>
    </fill>
    <fill>
      <patternFill patternType="solid">
        <fgColor theme="1"/>
        <bgColor indexed="64"/>
      </patternFill>
    </fill>
    <fill>
      <patternFill patternType="solid">
        <fgColor indexed="9"/>
        <bgColor indexed="64"/>
      </patternFill>
    </fill>
    <fill>
      <patternFill patternType="solid">
        <fgColor theme="5" tint="0.59999389629810485"/>
        <bgColor indexed="64"/>
      </patternFill>
    </fill>
    <fill>
      <patternFill patternType="solid">
        <fgColor theme="7" tint="0.59999389629810485"/>
        <bgColor indexed="64"/>
      </patternFill>
    </fill>
    <fill>
      <patternFill patternType="solid">
        <fgColor theme="0" tint="-4.9989318521683403E-2"/>
        <bgColor indexed="64"/>
      </patternFill>
    </fill>
    <fill>
      <patternFill patternType="solid">
        <fgColor theme="4" tint="0.79998168889431442"/>
        <bgColor indexed="64"/>
      </patternFill>
    </fill>
    <fill>
      <patternFill patternType="solid">
        <fgColor rgb="FFFF0000"/>
        <bgColor indexed="64"/>
      </patternFill>
    </fill>
    <fill>
      <patternFill patternType="solid">
        <fgColor theme="0" tint="-0.14999847407452621"/>
        <bgColor indexed="64"/>
      </patternFill>
    </fill>
    <fill>
      <patternFill patternType="solid">
        <fgColor theme="9" tint="-0.499984740745262"/>
        <bgColor indexed="64"/>
      </patternFill>
    </fill>
    <fill>
      <patternFill patternType="solid">
        <fgColor rgb="FF002060"/>
        <bgColor indexed="64"/>
      </patternFill>
    </fill>
    <fill>
      <patternFill patternType="solid">
        <fgColor rgb="FFC00000"/>
        <bgColor indexed="64"/>
      </patternFill>
    </fill>
    <fill>
      <patternFill patternType="solid">
        <fgColor rgb="FF92D050"/>
        <bgColor indexed="64"/>
      </patternFill>
    </fill>
    <fill>
      <patternFill patternType="solid">
        <fgColor theme="7" tint="0.39997558519241921"/>
        <bgColor indexed="64"/>
      </patternFill>
    </fill>
    <fill>
      <patternFill patternType="solid">
        <fgColor theme="9" tint="0.59999389629810485"/>
        <bgColor indexed="64"/>
      </patternFill>
    </fill>
    <fill>
      <patternFill patternType="solid">
        <fgColor theme="8" tint="0.59999389629810485"/>
        <bgColor indexed="64"/>
      </patternFill>
    </fill>
    <fill>
      <patternFill patternType="solid">
        <fgColor rgb="FFFFC000"/>
        <bgColor indexed="64"/>
      </patternFill>
    </fill>
    <fill>
      <patternFill patternType="solid">
        <fgColor theme="7"/>
        <bgColor indexed="64"/>
      </patternFill>
    </fill>
    <fill>
      <patternFill patternType="solid">
        <fgColor theme="4" tint="0.59999389629810485"/>
        <bgColor indexed="64"/>
      </patternFill>
    </fill>
    <fill>
      <patternFill patternType="solid">
        <fgColor theme="3" tint="0.79998168889431442"/>
        <bgColor indexed="64"/>
      </patternFill>
    </fill>
    <fill>
      <patternFill patternType="solid">
        <fgColor theme="9" tint="0.39997558519241921"/>
        <bgColor indexed="64"/>
      </patternFill>
    </fill>
    <fill>
      <patternFill patternType="solid">
        <fgColor theme="4" tint="-0.499984740745262"/>
        <bgColor indexed="64"/>
      </patternFill>
    </fill>
    <fill>
      <patternFill patternType="solid">
        <fgColor theme="5" tint="-0.499984740745262"/>
        <bgColor indexed="64"/>
      </patternFill>
    </fill>
    <fill>
      <patternFill patternType="solid">
        <fgColor rgb="FFC9DAF8"/>
        <bgColor indexed="64"/>
      </patternFill>
    </fill>
    <fill>
      <patternFill patternType="solid">
        <fgColor rgb="FFE9EEF3"/>
        <bgColor indexed="64"/>
      </patternFill>
    </fill>
    <fill>
      <patternFill patternType="solid">
        <fgColor rgb="FFF4F8F6"/>
        <bgColor indexed="64"/>
      </patternFill>
    </fill>
    <fill>
      <patternFill patternType="solid">
        <fgColor rgb="FFF9F9F9"/>
        <bgColor indexed="64"/>
      </patternFill>
    </fill>
    <fill>
      <patternFill patternType="solid">
        <fgColor theme="6" tint="0.79998168889431442"/>
        <bgColor indexed="64"/>
      </patternFill>
    </fill>
  </fills>
  <borders count="176">
    <border>
      <left/>
      <right/>
      <top/>
      <bottom/>
      <diagonal/>
    </border>
    <border>
      <left style="thin">
        <color indexed="64"/>
      </left>
      <right style="thin">
        <color indexed="64"/>
      </right>
      <top style="thin">
        <color indexed="64"/>
      </top>
      <bottom style="thin">
        <color indexed="64"/>
      </bottom>
      <diagonal/>
    </border>
    <border>
      <left style="thin">
        <color indexed="64"/>
      </left>
      <right/>
      <top style="thin">
        <color indexed="64"/>
      </top>
      <bottom style="thin">
        <color indexed="64"/>
      </bottom>
      <diagonal/>
    </border>
    <border>
      <left/>
      <right style="thin">
        <color indexed="64"/>
      </right>
      <top style="thin">
        <color indexed="64"/>
      </top>
      <bottom style="thin">
        <color indexed="64"/>
      </bottom>
      <diagonal/>
    </border>
    <border>
      <left style="thin">
        <color indexed="64"/>
      </left>
      <right style="thin">
        <color indexed="64"/>
      </right>
      <top/>
      <bottom/>
      <diagonal/>
    </border>
    <border>
      <left/>
      <right/>
      <top style="thin">
        <color indexed="64"/>
      </top>
      <bottom style="thin">
        <color indexed="64"/>
      </bottom>
      <diagonal/>
    </border>
    <border>
      <left style="thin">
        <color indexed="64"/>
      </left>
      <right/>
      <top/>
      <bottom/>
      <diagonal/>
    </border>
    <border>
      <left style="medium">
        <color indexed="64"/>
      </left>
      <right style="thin">
        <color indexed="64"/>
      </right>
      <top style="medium">
        <color indexed="64"/>
      </top>
      <bottom style="thin">
        <color indexed="64"/>
      </bottom>
      <diagonal/>
    </border>
    <border>
      <left style="thin">
        <color indexed="64"/>
      </left>
      <right style="thin">
        <color indexed="64"/>
      </right>
      <top style="medium">
        <color indexed="64"/>
      </top>
      <bottom style="thin">
        <color indexed="64"/>
      </bottom>
      <diagonal/>
    </border>
    <border>
      <left style="medium">
        <color indexed="64"/>
      </left>
      <right style="thin">
        <color indexed="64"/>
      </right>
      <top style="thin">
        <color indexed="64"/>
      </top>
      <bottom style="thin">
        <color indexed="64"/>
      </bottom>
      <diagonal/>
    </border>
    <border>
      <left style="medium">
        <color indexed="64"/>
      </left>
      <right style="thin">
        <color indexed="64"/>
      </right>
      <top style="thin">
        <color indexed="64"/>
      </top>
      <bottom style="medium">
        <color indexed="64"/>
      </bottom>
      <diagonal/>
    </border>
    <border>
      <left style="thin">
        <color indexed="64"/>
      </left>
      <right style="thin">
        <color indexed="64"/>
      </right>
      <top style="thin">
        <color indexed="64"/>
      </top>
      <bottom style="medium">
        <color indexed="64"/>
      </bottom>
      <diagonal/>
    </border>
    <border>
      <left/>
      <right/>
      <top/>
      <bottom style="thin">
        <color indexed="64"/>
      </bottom>
      <diagonal/>
    </border>
    <border>
      <left style="thin">
        <color indexed="64"/>
      </left>
      <right/>
      <top style="thin">
        <color indexed="64"/>
      </top>
      <bottom/>
      <diagonal/>
    </border>
    <border>
      <left/>
      <right/>
      <top style="thin">
        <color indexed="64"/>
      </top>
      <bottom/>
      <diagonal/>
    </border>
    <border>
      <left/>
      <right style="thin">
        <color indexed="64"/>
      </right>
      <top style="thin">
        <color indexed="64"/>
      </top>
      <bottom/>
      <diagonal/>
    </border>
    <border>
      <left style="thin">
        <color indexed="64"/>
      </left>
      <right/>
      <top/>
      <bottom style="thin">
        <color indexed="64"/>
      </bottom>
      <diagonal/>
    </border>
    <border>
      <left/>
      <right style="thin">
        <color indexed="64"/>
      </right>
      <top/>
      <bottom style="thin">
        <color indexed="64"/>
      </bottom>
      <diagonal/>
    </border>
    <border>
      <left/>
      <right style="thin">
        <color indexed="64"/>
      </right>
      <top style="medium">
        <color indexed="64"/>
      </top>
      <bottom style="thin">
        <color indexed="64"/>
      </bottom>
      <diagonal/>
    </border>
    <border>
      <left style="thin">
        <color theme="1"/>
      </left>
      <right style="thin">
        <color theme="1"/>
      </right>
      <top style="thin">
        <color indexed="64"/>
      </top>
      <bottom style="thin">
        <color indexed="64"/>
      </bottom>
      <diagonal/>
    </border>
    <border>
      <left style="thin">
        <color theme="0" tint="-0.34998626667073579"/>
      </left>
      <right/>
      <top style="thin">
        <color indexed="64"/>
      </top>
      <bottom style="thin">
        <color indexed="64"/>
      </bottom>
      <diagonal/>
    </border>
    <border>
      <left style="thin">
        <color theme="1"/>
      </left>
      <right style="thin">
        <color indexed="64"/>
      </right>
      <top style="thin">
        <color indexed="64"/>
      </top>
      <bottom style="thin">
        <color indexed="64"/>
      </bottom>
      <diagonal/>
    </border>
    <border>
      <left style="thin">
        <color auto="1"/>
      </left>
      <right style="thin">
        <color auto="1"/>
      </right>
      <top style="thin">
        <color auto="1"/>
      </top>
      <bottom/>
      <diagonal/>
    </border>
    <border>
      <left style="thin">
        <color indexed="64"/>
      </left>
      <right style="thin">
        <color indexed="64"/>
      </right>
      <top/>
      <bottom style="thin">
        <color indexed="64"/>
      </bottom>
      <diagonal/>
    </border>
    <border>
      <left style="thin">
        <color indexed="64"/>
      </left>
      <right style="medium">
        <color indexed="64"/>
      </right>
      <top style="medium">
        <color indexed="64"/>
      </top>
      <bottom style="thin">
        <color indexed="64"/>
      </bottom>
      <diagonal/>
    </border>
    <border>
      <left style="thin">
        <color indexed="64"/>
      </left>
      <right style="medium">
        <color indexed="64"/>
      </right>
      <top style="thin">
        <color indexed="64"/>
      </top>
      <bottom style="thin">
        <color indexed="64"/>
      </bottom>
      <diagonal/>
    </border>
    <border>
      <left/>
      <right style="thin">
        <color indexed="64"/>
      </right>
      <top/>
      <bottom/>
      <diagonal/>
    </border>
    <border>
      <left style="thin">
        <color indexed="64"/>
      </left>
      <right style="medium">
        <color indexed="64"/>
      </right>
      <top style="thin">
        <color indexed="64"/>
      </top>
      <bottom style="medium">
        <color indexed="64"/>
      </bottom>
      <diagonal/>
    </border>
    <border>
      <left style="thin">
        <color indexed="64"/>
      </left>
      <right style="thin">
        <color theme="0" tint="-0.34998626667073579"/>
      </right>
      <top/>
      <bottom/>
      <diagonal/>
    </border>
    <border>
      <left style="thin">
        <color theme="0" tint="-0.34998626667073579"/>
      </left>
      <right style="thin">
        <color theme="0" tint="-0.34998626667073579"/>
      </right>
      <top/>
      <bottom/>
      <diagonal/>
    </border>
    <border>
      <left style="thin">
        <color theme="0" tint="-0.34998626667073579"/>
      </left>
      <right style="thin">
        <color indexed="64"/>
      </right>
      <top/>
      <bottom/>
      <diagonal/>
    </border>
    <border>
      <left style="thin">
        <color auto="1"/>
      </left>
      <right style="thin">
        <color auto="1"/>
      </right>
      <top style="thin">
        <color auto="1"/>
      </top>
      <bottom style="thin">
        <color theme="0" tint="-0.34998626667073579"/>
      </bottom>
      <diagonal/>
    </border>
    <border>
      <left style="thin">
        <color auto="1"/>
      </left>
      <right/>
      <top style="thin">
        <color auto="1"/>
      </top>
      <bottom style="thin">
        <color theme="0" tint="-0.34998626667073579"/>
      </bottom>
      <diagonal/>
    </border>
    <border>
      <left/>
      <right/>
      <top style="thin">
        <color indexed="64"/>
      </top>
      <bottom style="thin">
        <color theme="0" tint="-0.34998626667073579"/>
      </bottom>
      <diagonal/>
    </border>
    <border>
      <left/>
      <right style="thin">
        <color indexed="64"/>
      </right>
      <top style="thin">
        <color indexed="64"/>
      </top>
      <bottom style="thin">
        <color theme="0" tint="-0.34998626667073579"/>
      </bottom>
      <diagonal/>
    </border>
    <border>
      <left/>
      <right style="thin">
        <color theme="1"/>
      </right>
      <top/>
      <bottom style="thin">
        <color theme="0" tint="-0.34998626667073579"/>
      </bottom>
      <diagonal/>
    </border>
    <border>
      <left style="thin">
        <color theme="1"/>
      </left>
      <right style="thin">
        <color theme="1"/>
      </right>
      <top/>
      <bottom style="thin">
        <color theme="0" tint="-0.34998626667073579"/>
      </bottom>
      <diagonal/>
    </border>
    <border>
      <left/>
      <right style="thin">
        <color indexed="64"/>
      </right>
      <top/>
      <bottom style="thin">
        <color theme="0" tint="-0.34998626667073579"/>
      </bottom>
      <diagonal/>
    </border>
    <border>
      <left style="thin">
        <color indexed="64"/>
      </left>
      <right/>
      <top style="thin">
        <color theme="0" tint="-0.34998626667073579"/>
      </top>
      <bottom style="thin">
        <color theme="0" tint="-0.34998626667073579"/>
      </bottom>
      <diagonal/>
    </border>
    <border>
      <left/>
      <right/>
      <top style="thin">
        <color theme="0" tint="-0.34998626667073579"/>
      </top>
      <bottom style="thin">
        <color theme="0" tint="-0.34998626667073579"/>
      </bottom>
      <diagonal/>
    </border>
    <border>
      <left/>
      <right style="thin">
        <color indexed="64"/>
      </right>
      <top style="thin">
        <color theme="0" tint="-0.34998626667073579"/>
      </top>
      <bottom style="thin">
        <color theme="0" tint="-0.34998626667073579"/>
      </bottom>
      <diagonal/>
    </border>
    <border>
      <left/>
      <right style="thin">
        <color theme="1"/>
      </right>
      <top style="thin">
        <color theme="0" tint="-0.34998626667073579"/>
      </top>
      <bottom style="thin">
        <color theme="0" tint="-0.34998626667073579"/>
      </bottom>
      <diagonal/>
    </border>
    <border>
      <left style="thin">
        <color theme="1"/>
      </left>
      <right style="thin">
        <color theme="1"/>
      </right>
      <top style="thin">
        <color theme="0" tint="-0.34998626667073579"/>
      </top>
      <bottom style="thin">
        <color theme="0" tint="-0.34998626667073579"/>
      </bottom>
      <diagonal/>
    </border>
    <border>
      <left style="thin">
        <color auto="1"/>
      </left>
      <right style="thin">
        <color auto="1"/>
      </right>
      <top style="thin">
        <color theme="0" tint="-0.34998626667073579"/>
      </top>
      <bottom style="thin">
        <color theme="0" tint="-0.34998626667073579"/>
      </bottom>
      <diagonal/>
    </border>
    <border>
      <left/>
      <right style="thin">
        <color indexed="64"/>
      </right>
      <top style="thin">
        <color theme="0" tint="-0.34998626667073579"/>
      </top>
      <bottom/>
      <diagonal/>
    </border>
    <border>
      <left/>
      <right style="thin">
        <color theme="1"/>
      </right>
      <top style="thin">
        <color theme="0" tint="-0.34998626667073579"/>
      </top>
      <bottom/>
      <diagonal/>
    </border>
    <border>
      <left style="thin">
        <color theme="1"/>
      </left>
      <right style="thin">
        <color theme="1"/>
      </right>
      <top style="thin">
        <color theme="0" tint="-0.34998626667073579"/>
      </top>
      <bottom/>
      <diagonal/>
    </border>
    <border>
      <left style="thin">
        <color indexed="64"/>
      </left>
      <right style="thin">
        <color theme="0" tint="-0.34998626667073579"/>
      </right>
      <top style="thin">
        <color indexed="64"/>
      </top>
      <bottom style="thin">
        <color indexed="64"/>
      </bottom>
      <diagonal/>
    </border>
    <border>
      <left/>
      <right style="thin">
        <color theme="1"/>
      </right>
      <top style="thin">
        <color indexed="64"/>
      </top>
      <bottom style="thin">
        <color indexed="64"/>
      </bottom>
      <diagonal/>
    </border>
    <border>
      <left style="thin">
        <color theme="1"/>
      </left>
      <right style="thin">
        <color indexed="64"/>
      </right>
      <top/>
      <bottom style="thin">
        <color theme="0" tint="-0.34998626667073579"/>
      </bottom>
      <diagonal/>
    </border>
    <border>
      <left style="thin">
        <color theme="0" tint="-0.34998626667073579"/>
      </left>
      <right/>
      <top style="thin">
        <color theme="0" tint="-0.34998626667073579"/>
      </top>
      <bottom style="thin">
        <color theme="0" tint="-0.34998626667073579"/>
      </bottom>
      <diagonal/>
    </border>
    <border>
      <left style="thin">
        <color indexed="64"/>
      </left>
      <right/>
      <top style="thin">
        <color theme="0" tint="-0.34998626667073579"/>
      </top>
      <bottom/>
      <diagonal/>
    </border>
    <border>
      <left/>
      <right/>
      <top style="thin">
        <color theme="0" tint="-0.34998626667073579"/>
      </top>
      <bottom/>
      <diagonal/>
    </border>
    <border>
      <left style="thin">
        <color indexed="64"/>
      </left>
      <right style="thin">
        <color theme="1"/>
      </right>
      <top style="thin">
        <color theme="1"/>
      </top>
      <bottom style="thin">
        <color theme="1"/>
      </bottom>
      <diagonal/>
    </border>
    <border>
      <left style="thin">
        <color theme="1"/>
      </left>
      <right style="thin">
        <color theme="1"/>
      </right>
      <top style="thin">
        <color theme="1"/>
      </top>
      <bottom style="thin">
        <color theme="1"/>
      </bottom>
      <diagonal/>
    </border>
    <border>
      <left style="thin">
        <color theme="1"/>
      </left>
      <right style="thin">
        <color indexed="64"/>
      </right>
      <top style="thin">
        <color theme="1"/>
      </top>
      <bottom style="thin">
        <color theme="1"/>
      </bottom>
      <diagonal/>
    </border>
    <border>
      <left style="thin">
        <color indexed="64"/>
      </left>
      <right style="thin">
        <color theme="0" tint="-0.34998626667073579"/>
      </right>
      <top/>
      <bottom style="thin">
        <color theme="0" tint="-0.34998626667073579"/>
      </bottom>
      <diagonal/>
    </border>
    <border>
      <left style="thin">
        <color theme="0" tint="-0.34998626667073579"/>
      </left>
      <right style="thin">
        <color theme="0" tint="-0.34998626667073579"/>
      </right>
      <top/>
      <bottom style="thin">
        <color theme="0" tint="-0.34998626667073579"/>
      </bottom>
      <diagonal/>
    </border>
    <border>
      <left style="thin">
        <color theme="0" tint="-0.34998626667073579"/>
      </left>
      <right style="thin">
        <color indexed="64"/>
      </right>
      <top/>
      <bottom style="thin">
        <color theme="0" tint="-0.34998626667073579"/>
      </bottom>
      <diagonal/>
    </border>
    <border>
      <left style="thin">
        <color indexed="64"/>
      </left>
      <right style="thin">
        <color indexed="64"/>
      </right>
      <top style="thin">
        <color indexed="64"/>
      </top>
      <bottom style="hair">
        <color indexed="64"/>
      </bottom>
      <diagonal/>
    </border>
    <border>
      <left/>
      <right style="double">
        <color indexed="64"/>
      </right>
      <top style="thin">
        <color indexed="64"/>
      </top>
      <bottom style="thin">
        <color indexed="64"/>
      </bottom>
      <diagonal/>
    </border>
    <border>
      <left style="double">
        <color indexed="64"/>
      </left>
      <right/>
      <top/>
      <bottom/>
      <diagonal/>
    </border>
    <border>
      <left/>
      <right style="double">
        <color indexed="64"/>
      </right>
      <top/>
      <bottom/>
      <diagonal/>
    </border>
    <border>
      <left/>
      <right/>
      <top style="medium">
        <color rgb="FFFF0000"/>
      </top>
      <bottom/>
      <diagonal/>
    </border>
    <border>
      <left style="thin">
        <color indexed="64"/>
      </left>
      <right style="medium">
        <color rgb="FFFF0000"/>
      </right>
      <top style="medium">
        <color rgb="FFFF0000"/>
      </top>
      <bottom style="thin">
        <color indexed="64"/>
      </bottom>
      <diagonal/>
    </border>
    <border>
      <left style="medium">
        <color rgb="FFFF0000"/>
      </left>
      <right/>
      <top/>
      <bottom/>
      <diagonal/>
    </border>
    <border>
      <left/>
      <right/>
      <top/>
      <bottom style="medium">
        <color rgb="FFFF0000"/>
      </bottom>
      <diagonal/>
    </border>
    <border>
      <left style="medium">
        <color indexed="64"/>
      </left>
      <right/>
      <top style="medium">
        <color indexed="64"/>
      </top>
      <bottom style="medium">
        <color indexed="64"/>
      </bottom>
      <diagonal/>
    </border>
    <border>
      <left/>
      <right style="medium">
        <color indexed="64"/>
      </right>
      <top style="medium">
        <color indexed="64"/>
      </top>
      <bottom style="medium">
        <color indexed="64"/>
      </bottom>
      <diagonal/>
    </border>
    <border>
      <left style="thin">
        <color indexed="64"/>
      </left>
      <right style="medium">
        <color rgb="FFFF0000"/>
      </right>
      <top/>
      <bottom style="thin">
        <color indexed="64"/>
      </bottom>
      <diagonal/>
    </border>
    <border>
      <left style="thin">
        <color indexed="64"/>
      </left>
      <right style="medium">
        <color rgb="FFFF0000"/>
      </right>
      <top/>
      <bottom style="medium">
        <color rgb="FFFF0000"/>
      </bottom>
      <diagonal/>
    </border>
    <border>
      <left/>
      <right style="thin">
        <color theme="1"/>
      </right>
      <top style="medium">
        <color indexed="64"/>
      </top>
      <bottom style="thin">
        <color indexed="64"/>
      </bottom>
      <diagonal/>
    </border>
    <border>
      <left/>
      <right/>
      <top/>
      <bottom style="hair">
        <color indexed="64"/>
      </bottom>
      <diagonal/>
    </border>
    <border>
      <left/>
      <right style="thin">
        <color indexed="64"/>
      </right>
      <top/>
      <bottom style="hair">
        <color indexed="64"/>
      </bottom>
      <diagonal/>
    </border>
    <border>
      <left style="thin">
        <color theme="0"/>
      </left>
      <right/>
      <top style="thin">
        <color theme="0"/>
      </top>
      <bottom style="thin">
        <color theme="0"/>
      </bottom>
      <diagonal/>
    </border>
    <border>
      <left style="thin">
        <color indexed="64"/>
      </left>
      <right style="medium">
        <color indexed="64"/>
      </right>
      <top style="thin">
        <color auto="1"/>
      </top>
      <bottom/>
      <diagonal/>
    </border>
    <border>
      <left/>
      <right/>
      <top/>
      <bottom style="thin">
        <color theme="0"/>
      </bottom>
      <diagonal/>
    </border>
    <border>
      <left/>
      <right/>
      <top style="thin">
        <color theme="0"/>
      </top>
      <bottom/>
      <diagonal/>
    </border>
    <border>
      <left style="thin">
        <color indexed="64"/>
      </left>
      <right style="thin">
        <color indexed="64"/>
      </right>
      <top style="thick">
        <color indexed="64"/>
      </top>
      <bottom style="thin">
        <color indexed="64"/>
      </bottom>
      <diagonal/>
    </border>
    <border>
      <left style="thin">
        <color indexed="64"/>
      </left>
      <right style="thin">
        <color indexed="64"/>
      </right>
      <top style="thin">
        <color indexed="64"/>
      </top>
      <bottom style="thick">
        <color indexed="64"/>
      </bottom>
      <diagonal/>
    </border>
    <border>
      <left/>
      <right style="thin">
        <color theme="0"/>
      </right>
      <top style="thin">
        <color theme="0"/>
      </top>
      <bottom style="thin">
        <color theme="0"/>
      </bottom>
      <diagonal/>
    </border>
    <border>
      <left style="medium">
        <color indexed="64"/>
      </left>
      <right/>
      <top style="medium">
        <color indexed="64"/>
      </top>
      <bottom/>
      <diagonal/>
    </border>
    <border>
      <left/>
      <right/>
      <top style="medium">
        <color indexed="64"/>
      </top>
      <bottom/>
      <diagonal/>
    </border>
    <border>
      <left/>
      <right style="medium">
        <color indexed="64"/>
      </right>
      <top style="medium">
        <color indexed="64"/>
      </top>
      <bottom/>
      <diagonal/>
    </border>
    <border>
      <left style="medium">
        <color indexed="64"/>
      </left>
      <right/>
      <top/>
      <bottom/>
      <diagonal/>
    </border>
    <border>
      <left/>
      <right style="medium">
        <color indexed="64"/>
      </right>
      <top/>
      <bottom/>
      <diagonal/>
    </border>
    <border>
      <left/>
      <right style="thin">
        <color indexed="64"/>
      </right>
      <top style="thick">
        <color indexed="64"/>
      </top>
      <bottom style="thin">
        <color indexed="64"/>
      </bottom>
      <diagonal/>
    </border>
    <border>
      <left/>
      <right/>
      <top/>
      <bottom style="medium">
        <color indexed="64"/>
      </bottom>
      <diagonal/>
    </border>
    <border>
      <left style="thick">
        <color indexed="64"/>
      </left>
      <right/>
      <top/>
      <bottom style="thin">
        <color indexed="64"/>
      </bottom>
      <diagonal/>
    </border>
    <border>
      <left style="thick">
        <color auto="1"/>
      </left>
      <right style="thin">
        <color indexed="64"/>
      </right>
      <top/>
      <bottom style="thin">
        <color indexed="64"/>
      </bottom>
      <diagonal/>
    </border>
    <border>
      <left style="thick">
        <color auto="1"/>
      </left>
      <right style="thin">
        <color indexed="64"/>
      </right>
      <top style="thin">
        <color indexed="64"/>
      </top>
      <bottom style="thin">
        <color indexed="64"/>
      </bottom>
      <diagonal/>
    </border>
    <border>
      <left style="thick">
        <color auto="1"/>
      </left>
      <right style="thin">
        <color indexed="64"/>
      </right>
      <top style="thin">
        <color indexed="64"/>
      </top>
      <bottom/>
      <diagonal/>
    </border>
    <border>
      <left style="thick">
        <color auto="1"/>
      </left>
      <right style="thin">
        <color indexed="64"/>
      </right>
      <top style="thin">
        <color indexed="64"/>
      </top>
      <bottom style="thick">
        <color indexed="64"/>
      </bottom>
      <diagonal/>
    </border>
    <border>
      <left style="thick">
        <color auto="1"/>
      </left>
      <right/>
      <top style="thick">
        <color auto="1"/>
      </top>
      <bottom style="thin">
        <color indexed="64"/>
      </bottom>
      <diagonal/>
    </border>
    <border>
      <left style="thick">
        <color auto="1"/>
      </left>
      <right/>
      <top style="thin">
        <color indexed="64"/>
      </top>
      <bottom style="thin">
        <color indexed="64"/>
      </bottom>
      <diagonal/>
    </border>
    <border>
      <left style="thin">
        <color theme="1"/>
      </left>
      <right style="thin">
        <color theme="1"/>
      </right>
      <top/>
      <bottom/>
      <diagonal/>
    </border>
    <border>
      <left style="thick">
        <color auto="1"/>
      </left>
      <right/>
      <top style="thin">
        <color indexed="64"/>
      </top>
      <bottom/>
      <diagonal/>
    </border>
    <border>
      <left style="thin">
        <color indexed="64"/>
      </left>
      <right style="thin">
        <color indexed="64"/>
      </right>
      <top style="double">
        <color auto="1"/>
      </top>
      <bottom style="double">
        <color auto="1"/>
      </bottom>
      <diagonal/>
    </border>
    <border>
      <left style="thin">
        <color theme="0"/>
      </left>
      <right style="thin">
        <color theme="0"/>
      </right>
      <top style="thin">
        <color theme="0"/>
      </top>
      <bottom/>
      <diagonal/>
    </border>
    <border>
      <left style="thick">
        <color indexed="64"/>
      </left>
      <right style="thin">
        <color indexed="64"/>
      </right>
      <top style="double">
        <color auto="1"/>
      </top>
      <bottom style="double">
        <color auto="1"/>
      </bottom>
      <diagonal/>
    </border>
    <border>
      <left style="thin">
        <color indexed="64"/>
      </left>
      <right/>
      <top style="thin">
        <color indexed="64"/>
      </top>
      <bottom style="thick">
        <color auto="1"/>
      </bottom>
      <diagonal/>
    </border>
    <border>
      <left style="thin">
        <color indexed="64"/>
      </left>
      <right/>
      <top style="thick">
        <color indexed="64"/>
      </top>
      <bottom style="thin">
        <color indexed="64"/>
      </bottom>
      <diagonal/>
    </border>
    <border>
      <left style="medium">
        <color auto="1"/>
      </left>
      <right style="medium">
        <color auto="1"/>
      </right>
      <top style="medium">
        <color auto="1"/>
      </top>
      <bottom/>
      <diagonal/>
    </border>
    <border>
      <left style="medium">
        <color auto="1"/>
      </left>
      <right style="medium">
        <color auto="1"/>
      </right>
      <top/>
      <bottom/>
      <diagonal/>
    </border>
    <border>
      <left style="medium">
        <color indexed="64"/>
      </left>
      <right/>
      <top style="thin">
        <color indexed="64"/>
      </top>
      <bottom/>
      <diagonal/>
    </border>
    <border>
      <left style="medium">
        <color indexed="64"/>
      </left>
      <right/>
      <top style="medium">
        <color indexed="64"/>
      </top>
      <bottom style="dashed">
        <color indexed="64"/>
      </bottom>
      <diagonal/>
    </border>
    <border>
      <left/>
      <right style="medium">
        <color indexed="64"/>
      </right>
      <top style="medium">
        <color indexed="64"/>
      </top>
      <bottom style="dashed">
        <color indexed="64"/>
      </bottom>
      <diagonal/>
    </border>
    <border>
      <left style="medium">
        <color indexed="64"/>
      </left>
      <right/>
      <top style="dashed">
        <color indexed="64"/>
      </top>
      <bottom style="dashed">
        <color indexed="64"/>
      </bottom>
      <diagonal/>
    </border>
    <border>
      <left/>
      <right style="medium">
        <color indexed="64"/>
      </right>
      <top style="dashed">
        <color indexed="64"/>
      </top>
      <bottom style="dashed">
        <color indexed="64"/>
      </bottom>
      <diagonal/>
    </border>
    <border>
      <left style="medium">
        <color indexed="64"/>
      </left>
      <right/>
      <top style="dashed">
        <color indexed="64"/>
      </top>
      <bottom style="medium">
        <color indexed="64"/>
      </bottom>
      <diagonal/>
    </border>
    <border>
      <left/>
      <right style="medium">
        <color indexed="64"/>
      </right>
      <top style="dashed">
        <color indexed="64"/>
      </top>
      <bottom style="medium">
        <color indexed="64"/>
      </bottom>
      <diagonal/>
    </border>
    <border>
      <left style="double">
        <color indexed="64"/>
      </left>
      <right style="thin">
        <color indexed="64"/>
      </right>
      <top style="thin">
        <color indexed="64"/>
      </top>
      <bottom style="thin">
        <color indexed="64"/>
      </bottom>
      <diagonal/>
    </border>
    <border>
      <left style="thin">
        <color auto="1"/>
      </left>
      <right style="thick">
        <color auto="1"/>
      </right>
      <top style="thin">
        <color auto="1"/>
      </top>
      <bottom style="thin">
        <color auto="1"/>
      </bottom>
      <diagonal/>
    </border>
    <border>
      <left style="medium">
        <color auto="1"/>
      </left>
      <right/>
      <top/>
      <bottom style="thin">
        <color indexed="64"/>
      </bottom>
      <diagonal/>
    </border>
    <border>
      <left style="thin">
        <color auto="1"/>
      </left>
      <right style="thick">
        <color auto="1"/>
      </right>
      <top style="thin">
        <color auto="1"/>
      </top>
      <bottom/>
      <diagonal/>
    </border>
    <border>
      <left/>
      <right/>
      <top style="thick">
        <color theme="0"/>
      </top>
      <bottom/>
      <diagonal/>
    </border>
    <border>
      <left/>
      <right style="thick">
        <color theme="0"/>
      </right>
      <top style="thick">
        <color theme="0"/>
      </top>
      <bottom/>
      <diagonal/>
    </border>
    <border>
      <left/>
      <right/>
      <top/>
      <bottom style="thick">
        <color theme="0"/>
      </bottom>
      <diagonal/>
    </border>
    <border>
      <left/>
      <right style="thick">
        <color theme="0"/>
      </right>
      <top/>
      <bottom style="thick">
        <color theme="0"/>
      </bottom>
      <diagonal/>
    </border>
    <border>
      <left style="thick">
        <color theme="0"/>
      </left>
      <right/>
      <top style="thick">
        <color theme="0"/>
      </top>
      <bottom style="thick">
        <color theme="0"/>
      </bottom>
      <diagonal/>
    </border>
    <border>
      <left/>
      <right/>
      <top style="thick">
        <color theme="0"/>
      </top>
      <bottom style="thick">
        <color theme="0"/>
      </bottom>
      <diagonal/>
    </border>
    <border>
      <left/>
      <right style="thick">
        <color theme="0"/>
      </right>
      <top style="thick">
        <color theme="0"/>
      </top>
      <bottom style="thick">
        <color theme="0"/>
      </bottom>
      <diagonal/>
    </border>
    <border>
      <left style="medium">
        <color theme="0"/>
      </left>
      <right/>
      <top style="medium">
        <color theme="0"/>
      </top>
      <bottom style="medium">
        <color theme="0"/>
      </bottom>
      <diagonal/>
    </border>
    <border>
      <left/>
      <right/>
      <top style="medium">
        <color theme="0"/>
      </top>
      <bottom style="medium">
        <color theme="0"/>
      </bottom>
      <diagonal/>
    </border>
    <border>
      <left/>
      <right style="medium">
        <color theme="0"/>
      </right>
      <top style="medium">
        <color theme="0"/>
      </top>
      <bottom style="medium">
        <color theme="0"/>
      </bottom>
      <diagonal/>
    </border>
    <border>
      <left style="medium">
        <color rgb="FFE6E6E6"/>
      </left>
      <right/>
      <top/>
      <bottom style="medium">
        <color rgb="FFE6E6E6"/>
      </bottom>
      <diagonal/>
    </border>
    <border>
      <left/>
      <right/>
      <top/>
      <bottom style="medium">
        <color rgb="FFE6E6E6"/>
      </bottom>
      <diagonal/>
    </border>
    <border>
      <left/>
      <right style="medium">
        <color rgb="FFE6E6E6"/>
      </right>
      <top/>
      <bottom style="medium">
        <color rgb="FFE6E6E6"/>
      </bottom>
      <diagonal/>
    </border>
    <border>
      <left style="medium">
        <color rgb="FFE6E6E6"/>
      </left>
      <right/>
      <top/>
      <bottom/>
      <diagonal/>
    </border>
    <border>
      <left/>
      <right style="medium">
        <color rgb="FFE6E6E6"/>
      </right>
      <top/>
      <bottom/>
      <diagonal/>
    </border>
    <border>
      <left style="thin">
        <color rgb="FF888888"/>
      </left>
      <right style="thin">
        <color rgb="FF888888"/>
      </right>
      <top style="thin">
        <color rgb="FF888888"/>
      </top>
      <bottom style="thin">
        <color rgb="FF888888"/>
      </bottom>
      <diagonal/>
    </border>
    <border>
      <left style="thin">
        <color rgb="FF888888"/>
      </left>
      <right style="thin">
        <color rgb="FF888888"/>
      </right>
      <top style="thin">
        <color rgb="FF888888"/>
      </top>
      <bottom/>
      <diagonal/>
    </border>
    <border>
      <left style="thin">
        <color rgb="FF888888"/>
      </left>
      <right style="thin">
        <color rgb="FF888888"/>
      </right>
      <top/>
      <bottom style="thin">
        <color rgb="FF888888"/>
      </bottom>
      <diagonal/>
    </border>
    <border>
      <left style="thin">
        <color rgb="FF888888"/>
      </left>
      <right style="thin">
        <color rgb="FF888888"/>
      </right>
      <top/>
      <bottom/>
      <diagonal/>
    </border>
    <border>
      <left/>
      <right/>
      <top style="thin">
        <color rgb="FF888888"/>
      </top>
      <bottom/>
      <diagonal/>
    </border>
    <border>
      <left/>
      <right/>
      <top/>
      <bottom style="thin">
        <color rgb="FF888888"/>
      </bottom>
      <diagonal/>
    </border>
    <border>
      <left style="medium">
        <color indexed="64"/>
      </left>
      <right style="thin">
        <color indexed="64"/>
      </right>
      <top/>
      <bottom style="thin">
        <color indexed="64"/>
      </bottom>
      <diagonal/>
    </border>
    <border>
      <left style="thin">
        <color indexed="64"/>
      </left>
      <right style="medium">
        <color indexed="64"/>
      </right>
      <top/>
      <bottom style="thin">
        <color indexed="64"/>
      </bottom>
      <diagonal/>
    </border>
    <border>
      <left style="medium">
        <color indexed="64"/>
      </left>
      <right style="thin">
        <color indexed="64"/>
      </right>
      <top style="thin">
        <color indexed="64"/>
      </top>
      <bottom/>
      <diagonal/>
    </border>
    <border>
      <left style="medium">
        <color indexed="64"/>
      </left>
      <right style="thin">
        <color indexed="64"/>
      </right>
      <top/>
      <bottom/>
      <diagonal/>
    </border>
    <border>
      <left style="thin">
        <color indexed="64"/>
      </left>
      <right style="medium">
        <color indexed="64"/>
      </right>
      <top/>
      <bottom/>
      <diagonal/>
    </border>
    <border>
      <left/>
      <right style="thin">
        <color indexed="64"/>
      </right>
      <top/>
      <bottom style="medium">
        <color indexed="64"/>
      </bottom>
      <diagonal/>
    </border>
    <border>
      <left style="thin">
        <color indexed="64"/>
      </left>
      <right style="thin">
        <color indexed="64"/>
      </right>
      <top/>
      <bottom style="medium">
        <color indexed="64"/>
      </bottom>
      <diagonal/>
    </border>
    <border>
      <left style="thin">
        <color indexed="64"/>
      </left>
      <right/>
      <top/>
      <bottom style="medium">
        <color indexed="64"/>
      </bottom>
      <diagonal/>
    </border>
    <border>
      <left style="thin">
        <color indexed="64"/>
      </left>
      <right style="medium">
        <color indexed="64"/>
      </right>
      <top/>
      <bottom style="medium">
        <color indexed="64"/>
      </bottom>
      <diagonal/>
    </border>
    <border>
      <left style="medium">
        <color indexed="64"/>
      </left>
      <right style="thin">
        <color indexed="64"/>
      </right>
      <top/>
      <bottom style="medium">
        <color indexed="64"/>
      </bottom>
      <diagonal/>
    </border>
    <border>
      <left/>
      <right/>
      <top style="medium">
        <color indexed="64"/>
      </top>
      <bottom style="medium">
        <color indexed="64"/>
      </bottom>
      <diagonal/>
    </border>
    <border>
      <left/>
      <right style="thin">
        <color theme="0"/>
      </right>
      <top/>
      <bottom/>
      <diagonal/>
    </border>
    <border>
      <left style="thick">
        <color indexed="64"/>
      </left>
      <right/>
      <top/>
      <bottom/>
      <diagonal/>
    </border>
    <border>
      <left style="thin">
        <color theme="1"/>
      </left>
      <right style="thin">
        <color theme="1"/>
      </right>
      <top/>
      <bottom style="thin">
        <color theme="1"/>
      </bottom>
      <diagonal/>
    </border>
    <border>
      <left style="thin">
        <color theme="1"/>
      </left>
      <right/>
      <top style="thin">
        <color theme="1"/>
      </top>
      <bottom style="thin">
        <color theme="1"/>
      </bottom>
      <diagonal/>
    </border>
    <border>
      <left style="thin">
        <color theme="1"/>
      </left>
      <right/>
      <top style="thin">
        <color indexed="64"/>
      </top>
      <bottom style="thin">
        <color indexed="64"/>
      </bottom>
      <diagonal/>
    </border>
    <border>
      <left style="thin">
        <color indexed="64"/>
      </left>
      <right style="thin">
        <color indexed="64"/>
      </right>
      <top/>
      <bottom style="double">
        <color auto="1"/>
      </bottom>
      <diagonal/>
    </border>
    <border>
      <left style="thin">
        <color indexed="64"/>
      </left>
      <right/>
      <top/>
      <bottom style="double">
        <color auto="1"/>
      </bottom>
      <diagonal/>
    </border>
    <border>
      <left style="thick">
        <color auto="1"/>
      </left>
      <right style="thin">
        <color indexed="64"/>
      </right>
      <top style="thick">
        <color auto="1"/>
      </top>
      <bottom style="thin">
        <color indexed="64"/>
      </bottom>
      <diagonal/>
    </border>
    <border>
      <left style="thin">
        <color indexed="64"/>
      </left>
      <right style="thick">
        <color auto="1"/>
      </right>
      <top style="thick">
        <color auto="1"/>
      </top>
      <bottom style="thin">
        <color indexed="64"/>
      </bottom>
      <diagonal/>
    </border>
    <border>
      <left style="thick">
        <color auto="1"/>
      </left>
      <right/>
      <top style="thin">
        <color indexed="64"/>
      </top>
      <bottom style="thick">
        <color auto="1"/>
      </bottom>
      <diagonal/>
    </border>
    <border>
      <left style="thin">
        <color indexed="64"/>
      </left>
      <right style="thick">
        <color auto="1"/>
      </right>
      <top style="thin">
        <color indexed="64"/>
      </top>
      <bottom style="thick">
        <color auto="1"/>
      </bottom>
      <diagonal/>
    </border>
    <border>
      <left style="thin">
        <color indexed="64"/>
      </left>
      <right/>
      <top style="thin">
        <color theme="0"/>
      </top>
      <bottom style="thin">
        <color auto="1"/>
      </bottom>
      <diagonal/>
    </border>
    <border>
      <left/>
      <right style="thick">
        <color auto="1"/>
      </right>
      <top style="thin">
        <color theme="0"/>
      </top>
      <bottom style="thin">
        <color auto="1"/>
      </bottom>
      <diagonal/>
    </border>
    <border>
      <left style="medium">
        <color indexed="64"/>
      </left>
      <right/>
      <top style="medium">
        <color indexed="64"/>
      </top>
      <bottom style="thin">
        <color indexed="64"/>
      </bottom>
      <diagonal/>
    </border>
    <border>
      <left/>
      <right/>
      <top style="medium">
        <color indexed="64"/>
      </top>
      <bottom style="thin">
        <color indexed="64"/>
      </bottom>
      <diagonal/>
    </border>
    <border>
      <left style="double">
        <color theme="0"/>
      </left>
      <right style="double">
        <color theme="0"/>
      </right>
      <top style="double">
        <color theme="0"/>
      </top>
      <bottom style="double">
        <color theme="0"/>
      </bottom>
      <diagonal/>
    </border>
    <border>
      <left style="double">
        <color indexed="64"/>
      </left>
      <right style="thin">
        <color indexed="64"/>
      </right>
      <top style="thin">
        <color indexed="64"/>
      </top>
      <bottom/>
      <diagonal/>
    </border>
    <border>
      <left/>
      <right style="medium">
        <color indexed="64"/>
      </right>
      <top/>
      <bottom style="thick">
        <color theme="0"/>
      </bottom>
      <diagonal/>
    </border>
    <border>
      <left style="medium">
        <color indexed="64"/>
      </left>
      <right/>
      <top/>
      <bottom style="thick">
        <color theme="0"/>
      </bottom>
      <diagonal/>
    </border>
    <border>
      <left style="thin">
        <color theme="1"/>
      </left>
      <right/>
      <top style="thin">
        <color indexed="64"/>
      </top>
      <bottom/>
      <diagonal/>
    </border>
    <border>
      <left style="thin">
        <color theme="1"/>
      </left>
      <right/>
      <top/>
      <bottom/>
      <diagonal/>
    </border>
    <border>
      <left style="thin">
        <color theme="1"/>
      </left>
      <right/>
      <top/>
      <bottom style="thin">
        <color indexed="64"/>
      </bottom>
      <diagonal/>
    </border>
    <border>
      <left/>
      <right style="medium">
        <color indexed="64"/>
      </right>
      <top style="medium">
        <color indexed="64"/>
      </top>
      <bottom style="thin">
        <color indexed="64"/>
      </bottom>
      <diagonal/>
    </border>
    <border>
      <left style="medium">
        <color indexed="64"/>
      </left>
      <right/>
      <top style="thin">
        <color indexed="64"/>
      </top>
      <bottom style="thin">
        <color indexed="64"/>
      </bottom>
      <diagonal/>
    </border>
    <border>
      <left/>
      <right style="medium">
        <color indexed="64"/>
      </right>
      <top style="thin">
        <color indexed="64"/>
      </top>
      <bottom style="thin">
        <color indexed="64"/>
      </bottom>
      <diagonal/>
    </border>
    <border>
      <left style="thin">
        <color indexed="64"/>
      </left>
      <right/>
      <top style="medium">
        <color indexed="64"/>
      </top>
      <bottom style="thin">
        <color indexed="64"/>
      </bottom>
      <diagonal/>
    </border>
    <border>
      <left style="thin">
        <color indexed="64"/>
      </left>
      <right/>
      <top style="thin">
        <color indexed="64"/>
      </top>
      <bottom style="medium">
        <color indexed="64"/>
      </bottom>
      <diagonal/>
    </border>
    <border>
      <left style="thick">
        <color theme="0"/>
      </left>
      <right/>
      <top style="thick">
        <color theme="0"/>
      </top>
      <bottom/>
      <diagonal/>
    </border>
    <border>
      <left style="thick">
        <color theme="0"/>
      </left>
      <right/>
      <top/>
      <bottom style="thick">
        <color theme="0"/>
      </bottom>
      <diagonal/>
    </border>
  </borders>
  <cellStyleXfs count="8">
    <xf numFmtId="0" fontId="0" fillId="0" borderId="0"/>
    <xf numFmtId="43" fontId="4" fillId="0" borderId="0" applyFont="0" applyFill="0" applyBorder="0" applyAlignment="0" applyProtection="0"/>
    <xf numFmtId="0" fontId="4" fillId="0" borderId="0"/>
    <xf numFmtId="0" fontId="12" fillId="0" borderId="0"/>
    <xf numFmtId="167" fontId="12" fillId="0" borderId="0" applyFont="0" applyFill="0" applyBorder="0" applyAlignment="0" applyProtection="0"/>
    <xf numFmtId="0" fontId="15" fillId="0" borderId="0" applyNumberFormat="0" applyFill="0" applyBorder="0" applyAlignment="0" applyProtection="0"/>
    <xf numFmtId="167" fontId="12" fillId="0" borderId="0" applyFont="0" applyFill="0" applyBorder="0" applyAlignment="0" applyProtection="0"/>
    <xf numFmtId="9" fontId="4" fillId="0" borderId="0" applyFont="0" applyFill="0" applyBorder="0" applyAlignment="0" applyProtection="0"/>
  </cellStyleXfs>
  <cellXfs count="1605">
    <xf numFmtId="0" fontId="0" fillId="0" borderId="0" xfId="0"/>
    <xf numFmtId="0" fontId="0" fillId="0" borderId="1" xfId="0" applyBorder="1"/>
    <xf numFmtId="0" fontId="0" fillId="4" borderId="1" xfId="0" applyFill="1" applyBorder="1"/>
    <xf numFmtId="0" fontId="0" fillId="5" borderId="1" xfId="0" applyFill="1" applyBorder="1"/>
    <xf numFmtId="14" fontId="0" fillId="0" borderId="0" xfId="0" applyNumberFormat="1"/>
    <xf numFmtId="14" fontId="0" fillId="0" borderId="1" xfId="0" applyNumberFormat="1" applyBorder="1"/>
    <xf numFmtId="0" fontId="6" fillId="0" borderId="0" xfId="2" applyFont="1" applyAlignment="1" applyProtection="1">
      <alignment horizontal="center" vertical="center"/>
      <protection hidden="1"/>
    </xf>
    <xf numFmtId="166" fontId="6" fillId="0" borderId="0" xfId="2" applyNumberFormat="1" applyFont="1" applyAlignment="1" applyProtection="1">
      <alignment horizontal="center" vertical="center"/>
      <protection hidden="1"/>
    </xf>
    <xf numFmtId="0" fontId="0" fillId="0" borderId="1" xfId="0" applyBorder="1" applyAlignment="1">
      <alignment horizontal="center" vertical="center"/>
    </xf>
    <xf numFmtId="14" fontId="9" fillId="6" borderId="0" xfId="0" applyNumberFormat="1" applyFont="1" applyFill="1" applyAlignment="1">
      <alignment vertical="center"/>
    </xf>
    <xf numFmtId="14" fontId="0" fillId="6" borderId="0" xfId="0" applyNumberFormat="1" applyFill="1"/>
    <xf numFmtId="1" fontId="0" fillId="0" borderId="0" xfId="0" applyNumberFormat="1"/>
    <xf numFmtId="14" fontId="11" fillId="0" borderId="0" xfId="0" applyNumberFormat="1" applyFont="1"/>
    <xf numFmtId="1" fontId="0" fillId="0" borderId="4" xfId="0" applyNumberFormat="1" applyBorder="1"/>
    <xf numFmtId="0" fontId="6" fillId="0" borderId="1" xfId="2" applyFont="1" applyBorder="1" applyAlignment="1" applyProtection="1">
      <alignment horizontal="center" vertical="center"/>
      <protection hidden="1"/>
    </xf>
    <xf numFmtId="14" fontId="6" fillId="0" borderId="1" xfId="2" applyNumberFormat="1" applyFont="1" applyBorder="1" applyAlignment="1" applyProtection="1">
      <alignment horizontal="center" vertical="center"/>
      <protection hidden="1"/>
    </xf>
    <xf numFmtId="14" fontId="0" fillId="3" borderId="1" xfId="0" applyNumberFormat="1" applyFill="1" applyBorder="1"/>
    <xf numFmtId="0" fontId="0" fillId="3" borderId="1" xfId="0" applyFill="1" applyBorder="1"/>
    <xf numFmtId="0" fontId="0" fillId="0" borderId="0" xfId="0" applyAlignment="1">
      <alignment horizontal="right"/>
    </xf>
    <xf numFmtId="0" fontId="0" fillId="0" borderId="1" xfId="0" applyBorder="1" applyAlignment="1">
      <alignment horizontal="center"/>
    </xf>
    <xf numFmtId="14" fontId="9" fillId="0" borderId="1" xfId="0" applyNumberFormat="1" applyFont="1" applyBorder="1" applyAlignment="1">
      <alignment horizontal="right"/>
    </xf>
    <xf numFmtId="14" fontId="9" fillId="5" borderId="1" xfId="0" applyNumberFormat="1" applyFont="1" applyFill="1" applyBorder="1"/>
    <xf numFmtId="0" fontId="0" fillId="9" borderId="0" xfId="0" applyFill="1"/>
    <xf numFmtId="0" fontId="0" fillId="9" borderId="1" xfId="0" applyFill="1" applyBorder="1"/>
    <xf numFmtId="2" fontId="0" fillId="0" borderId="0" xfId="0" applyNumberFormat="1"/>
    <xf numFmtId="14" fontId="9" fillId="0" borderId="0" xfId="0" applyNumberFormat="1" applyFont="1" applyAlignment="1">
      <alignment horizontal="center" vertical="center"/>
    </xf>
    <xf numFmtId="0" fontId="0" fillId="8" borderId="1" xfId="0" applyFill="1" applyBorder="1"/>
    <xf numFmtId="0" fontId="0" fillId="10" borderId="1" xfId="0" applyFill="1" applyBorder="1"/>
    <xf numFmtId="14" fontId="0" fillId="10" borderId="1" xfId="0" applyNumberFormat="1" applyFill="1" applyBorder="1"/>
    <xf numFmtId="14" fontId="0" fillId="4" borderId="1" xfId="0" applyNumberFormat="1" applyFill="1" applyBorder="1"/>
    <xf numFmtId="0" fontId="0" fillId="11" borderId="1" xfId="0" applyFill="1" applyBorder="1"/>
    <xf numFmtId="14" fontId="0" fillId="11" borderId="1" xfId="0" applyNumberFormat="1" applyFill="1" applyBorder="1"/>
    <xf numFmtId="0" fontId="0" fillId="0" borderId="5" xfId="0" applyBorder="1"/>
    <xf numFmtId="0" fontId="0" fillId="12" borderId="0" xfId="0" applyFill="1"/>
    <xf numFmtId="41" fontId="23" fillId="0" borderId="18" xfId="0" applyNumberFormat="1" applyFont="1" applyBorder="1" applyAlignment="1" applyProtection="1">
      <alignment vertical="center" shrinkToFit="1"/>
      <protection hidden="1"/>
    </xf>
    <xf numFmtId="0" fontId="27" fillId="0" borderId="5" xfId="0" applyFont="1" applyBorder="1" applyAlignment="1" applyProtection="1">
      <alignment vertical="center"/>
      <protection hidden="1"/>
    </xf>
    <xf numFmtId="41" fontId="23" fillId="0" borderId="21" xfId="0" applyNumberFormat="1" applyFont="1" applyBorder="1" applyAlignment="1" applyProtection="1">
      <alignment horizontal="left" vertical="center" shrinkToFit="1"/>
      <protection hidden="1"/>
    </xf>
    <xf numFmtId="41" fontId="23" fillId="0" borderId="1" xfId="0" applyNumberFormat="1" applyFont="1" applyBorder="1" applyAlignment="1" applyProtection="1">
      <alignment vertical="center" shrinkToFit="1"/>
      <protection hidden="1"/>
    </xf>
    <xf numFmtId="41" fontId="21" fillId="0" borderId="1" xfId="0" applyNumberFormat="1" applyFont="1" applyBorder="1" applyAlignment="1" applyProtection="1">
      <alignment vertical="center" shrinkToFit="1"/>
      <protection hidden="1"/>
    </xf>
    <xf numFmtId="41" fontId="23" fillId="0" borderId="3" xfId="0" applyNumberFormat="1" applyFont="1" applyBorder="1" applyAlignment="1" applyProtection="1">
      <alignment vertical="center" shrinkToFit="1"/>
      <protection hidden="1"/>
    </xf>
    <xf numFmtId="0" fontId="39" fillId="0" borderId="0" xfId="0" applyFont="1" applyAlignment="1" applyProtection="1">
      <alignment vertical="center"/>
      <protection hidden="1"/>
    </xf>
    <xf numFmtId="0" fontId="38" fillId="0" borderId="22" xfId="0" applyFont="1" applyBorder="1" applyAlignment="1" applyProtection="1">
      <alignment horizontal="center" vertical="center" shrinkToFit="1"/>
      <protection hidden="1"/>
    </xf>
    <xf numFmtId="0" fontId="38" fillId="0" borderId="23" xfId="0" applyFont="1" applyBorder="1" applyAlignment="1" applyProtection="1">
      <alignment horizontal="center" vertical="center" shrinkToFit="1"/>
      <protection hidden="1"/>
    </xf>
    <xf numFmtId="0" fontId="50" fillId="0" borderId="2" xfId="0" applyFont="1" applyBorder="1" applyAlignment="1" applyProtection="1">
      <alignment horizontal="left" vertical="center"/>
      <protection hidden="1"/>
    </xf>
    <xf numFmtId="0" fontId="50" fillId="0" borderId="5" xfId="0" applyFont="1" applyBorder="1" applyAlignment="1" applyProtection="1">
      <alignment horizontal="left" vertical="center"/>
      <protection hidden="1"/>
    </xf>
    <xf numFmtId="170" fontId="51" fillId="0" borderId="19" xfId="0" applyNumberFormat="1" applyFont="1" applyBorder="1" applyAlignment="1" applyProtection="1">
      <alignment horizontal="center" vertical="center"/>
      <protection hidden="1"/>
    </xf>
    <xf numFmtId="170" fontId="51" fillId="0" borderId="3" xfId="0" applyNumberFormat="1" applyFont="1" applyBorder="1" applyAlignment="1" applyProtection="1">
      <alignment horizontal="center" vertical="center"/>
      <protection hidden="1"/>
    </xf>
    <xf numFmtId="0" fontId="33" fillId="0" borderId="31" xfId="0" applyFont="1" applyBorder="1" applyAlignment="1" applyProtection="1">
      <alignment vertical="center"/>
      <protection hidden="1"/>
    </xf>
    <xf numFmtId="0" fontId="26" fillId="0" borderId="32" xfId="0" applyFont="1" applyBorder="1" applyAlignment="1" applyProtection="1">
      <alignment vertical="center"/>
      <protection hidden="1"/>
    </xf>
    <xf numFmtId="0" fontId="26" fillId="0" borderId="33" xfId="0" applyFont="1" applyBorder="1" applyAlignment="1" applyProtection="1">
      <alignment vertical="center"/>
      <protection hidden="1"/>
    </xf>
    <xf numFmtId="0" fontId="26" fillId="0" borderId="34" xfId="0" applyFont="1" applyBorder="1" applyAlignment="1" applyProtection="1">
      <alignment vertical="center"/>
      <protection hidden="1"/>
    </xf>
    <xf numFmtId="0" fontId="27" fillId="0" borderId="4" xfId="0" applyFont="1" applyBorder="1" applyProtection="1">
      <protection hidden="1"/>
    </xf>
    <xf numFmtId="0" fontId="26" fillId="0" borderId="38" xfId="0" applyFont="1" applyBorder="1" applyAlignment="1" applyProtection="1">
      <alignment horizontal="left" vertical="center"/>
      <protection hidden="1"/>
    </xf>
    <xf numFmtId="0" fontId="26" fillId="0" borderId="39" xfId="0" applyFont="1" applyBorder="1" applyAlignment="1" applyProtection="1">
      <alignment horizontal="left" vertical="center"/>
      <protection hidden="1"/>
    </xf>
    <xf numFmtId="0" fontId="26" fillId="0" borderId="40" xfId="0" applyFont="1" applyBorder="1" applyAlignment="1" applyProtection="1">
      <alignment horizontal="left" vertical="center"/>
      <protection hidden="1"/>
    </xf>
    <xf numFmtId="0" fontId="28" fillId="0" borderId="38" xfId="0" applyFont="1" applyBorder="1" applyAlignment="1" applyProtection="1">
      <alignment horizontal="left" vertical="center"/>
      <protection hidden="1"/>
    </xf>
    <xf numFmtId="0" fontId="33" fillId="0" borderId="43" xfId="0" applyFont="1" applyBorder="1" applyAlignment="1" applyProtection="1">
      <alignment vertical="center"/>
      <protection hidden="1"/>
    </xf>
    <xf numFmtId="0" fontId="26" fillId="0" borderId="38" xfId="0" applyFont="1" applyBorder="1" applyAlignment="1" applyProtection="1">
      <alignment vertical="center"/>
      <protection hidden="1"/>
    </xf>
    <xf numFmtId="0" fontId="26" fillId="0" borderId="39" xfId="0" applyFont="1" applyBorder="1" applyAlignment="1" applyProtection="1">
      <alignment vertical="center"/>
      <protection hidden="1"/>
    </xf>
    <xf numFmtId="0" fontId="26" fillId="0" borderId="40" xfId="0" applyFont="1" applyBorder="1" applyAlignment="1" applyProtection="1">
      <alignment vertical="center"/>
      <protection hidden="1"/>
    </xf>
    <xf numFmtId="0" fontId="28" fillId="0" borderId="38" xfId="0" applyFont="1" applyBorder="1" applyAlignment="1" applyProtection="1">
      <alignment vertical="center"/>
      <protection hidden="1"/>
    </xf>
    <xf numFmtId="0" fontId="33" fillId="0" borderId="39" xfId="0" applyFont="1" applyBorder="1" applyAlignment="1" applyProtection="1">
      <alignment vertical="center"/>
      <protection hidden="1"/>
    </xf>
    <xf numFmtId="0" fontId="33" fillId="0" borderId="40" xfId="0" applyFont="1" applyBorder="1" applyAlignment="1" applyProtection="1">
      <alignment vertical="center"/>
      <protection hidden="1"/>
    </xf>
    <xf numFmtId="0" fontId="28" fillId="0" borderId="43" xfId="0" applyFont="1" applyBorder="1" applyAlignment="1" applyProtection="1">
      <alignment vertical="center"/>
      <protection hidden="1"/>
    </xf>
    <xf numFmtId="0" fontId="28" fillId="0" borderId="43" xfId="0" applyFont="1" applyBorder="1" applyAlignment="1" applyProtection="1">
      <alignment horizontal="left" vertical="center"/>
      <protection hidden="1"/>
    </xf>
    <xf numFmtId="0" fontId="26" fillId="0" borderId="4" xfId="0" applyFont="1" applyBorder="1" applyAlignment="1" applyProtection="1">
      <alignment vertical="center"/>
      <protection hidden="1"/>
    </xf>
    <xf numFmtId="0" fontId="27" fillId="0" borderId="39" xfId="0" applyFont="1" applyBorder="1" applyAlignment="1" applyProtection="1">
      <alignment vertical="center"/>
      <protection hidden="1"/>
    </xf>
    <xf numFmtId="0" fontId="27" fillId="0" borderId="40" xfId="0" applyFont="1" applyBorder="1" applyAlignment="1" applyProtection="1">
      <alignment vertical="center"/>
      <protection hidden="1"/>
    </xf>
    <xf numFmtId="41" fontId="52" fillId="0" borderId="42" xfId="6" applyNumberFormat="1" applyFont="1" applyFill="1" applyBorder="1" applyAlignment="1" applyProtection="1">
      <alignment horizontal="right" vertical="center" shrinkToFit="1"/>
      <protection hidden="1"/>
    </xf>
    <xf numFmtId="0" fontId="33" fillId="0" borderId="4" xfId="0" applyFont="1" applyBorder="1" applyAlignment="1" applyProtection="1">
      <alignment vertical="center"/>
      <protection hidden="1"/>
    </xf>
    <xf numFmtId="0" fontId="26" fillId="0" borderId="6" xfId="0" applyFont="1" applyBorder="1" applyAlignment="1" applyProtection="1">
      <alignment horizontal="left" vertical="center"/>
      <protection hidden="1"/>
    </xf>
    <xf numFmtId="0" fontId="26" fillId="0" borderId="0" xfId="0" applyFont="1" applyAlignment="1" applyProtection="1">
      <alignment vertical="center"/>
      <protection hidden="1"/>
    </xf>
    <xf numFmtId="0" fontId="26" fillId="0" borderId="26" xfId="0" applyFont="1" applyBorder="1" applyAlignment="1" applyProtection="1">
      <alignment vertical="center"/>
      <protection hidden="1"/>
    </xf>
    <xf numFmtId="0" fontId="33" fillId="0" borderId="4" xfId="0" applyFont="1" applyBorder="1" applyProtection="1">
      <protection hidden="1"/>
    </xf>
    <xf numFmtId="0" fontId="26" fillId="0" borderId="2" xfId="0" applyFont="1" applyBorder="1" applyAlignment="1" applyProtection="1">
      <alignment horizontal="center" vertical="center"/>
      <protection hidden="1"/>
    </xf>
    <xf numFmtId="0" fontId="26" fillId="0" borderId="5" xfId="0" applyFont="1" applyBorder="1" applyAlignment="1" applyProtection="1">
      <alignment horizontal="left" vertical="center"/>
      <protection hidden="1"/>
    </xf>
    <xf numFmtId="0" fontId="26" fillId="0" borderId="3" xfId="0" applyFont="1" applyBorder="1" applyAlignment="1" applyProtection="1">
      <alignment horizontal="left" vertical="center"/>
      <protection hidden="1"/>
    </xf>
    <xf numFmtId="0" fontId="0" fillId="0" borderId="4" xfId="0" applyBorder="1" applyAlignment="1">
      <alignment horizontal="left" vertical="center"/>
    </xf>
    <xf numFmtId="0" fontId="27" fillId="0" borderId="5" xfId="0" applyFont="1" applyBorder="1" applyAlignment="1">
      <alignment horizontal="left" vertical="center"/>
    </xf>
    <xf numFmtId="0" fontId="27" fillId="0" borderId="3" xfId="0" applyFont="1" applyBorder="1" applyAlignment="1">
      <alignment horizontal="left" vertical="center"/>
    </xf>
    <xf numFmtId="0" fontId="32" fillId="0" borderId="47" xfId="0" applyFont="1" applyBorder="1" applyAlignment="1" applyProtection="1">
      <alignment vertical="center"/>
      <protection hidden="1"/>
    </xf>
    <xf numFmtId="0" fontId="32" fillId="0" borderId="20" xfId="0" applyFont="1" applyBorder="1" applyAlignment="1" applyProtection="1">
      <alignment vertical="center"/>
      <protection hidden="1"/>
    </xf>
    <xf numFmtId="0" fontId="55" fillId="0" borderId="5" xfId="0" applyFont="1" applyBorder="1" applyAlignment="1" applyProtection="1">
      <alignment vertical="center"/>
      <protection hidden="1"/>
    </xf>
    <xf numFmtId="0" fontId="26" fillId="0" borderId="5" xfId="0" applyFont="1" applyBorder="1" applyAlignment="1" applyProtection="1">
      <alignment vertical="center"/>
      <protection hidden="1"/>
    </xf>
    <xf numFmtId="0" fontId="0" fillId="0" borderId="48" xfId="0" applyBorder="1"/>
    <xf numFmtId="171" fontId="51" fillId="0" borderId="19" xfId="6" applyNumberFormat="1" applyFont="1" applyFill="1" applyBorder="1" applyAlignment="1" applyProtection="1">
      <alignment horizontal="center" vertical="center" wrapText="1"/>
      <protection hidden="1"/>
    </xf>
    <xf numFmtId="165" fontId="51" fillId="0" borderId="19" xfId="6" applyNumberFormat="1" applyFont="1" applyFill="1" applyBorder="1" applyAlignment="1" applyProtection="1">
      <alignment horizontal="center" vertical="center" wrapText="1"/>
      <protection hidden="1"/>
    </xf>
    <xf numFmtId="165" fontId="51" fillId="0" borderId="3" xfId="6" applyNumberFormat="1" applyFont="1" applyFill="1" applyBorder="1" applyAlignment="1" applyProtection="1">
      <alignment horizontal="center" vertical="center" wrapText="1"/>
      <protection hidden="1"/>
    </xf>
    <xf numFmtId="0" fontId="0" fillId="0" borderId="6" xfId="0" applyBorder="1"/>
    <xf numFmtId="171" fontId="52" fillId="0" borderId="36" xfId="6" applyNumberFormat="1" applyFont="1" applyFill="1" applyBorder="1" applyAlignment="1" applyProtection="1">
      <alignment horizontal="right" vertical="center" shrinkToFit="1"/>
      <protection hidden="1"/>
    </xf>
    <xf numFmtId="171" fontId="52" fillId="0" borderId="49" xfId="6" applyNumberFormat="1" applyFont="1" applyFill="1" applyBorder="1" applyAlignment="1" applyProtection="1">
      <alignment horizontal="right" vertical="center" shrinkToFit="1"/>
      <protection hidden="1"/>
    </xf>
    <xf numFmtId="0" fontId="27" fillId="0" borderId="50" xfId="0" applyFont="1" applyBorder="1" applyAlignment="1" applyProtection="1">
      <alignment vertical="center"/>
      <protection hidden="1"/>
    </xf>
    <xf numFmtId="0" fontId="0" fillId="0" borderId="39" xfId="0" applyBorder="1"/>
    <xf numFmtId="0" fontId="26" fillId="0" borderId="41" xfId="0" applyFont="1" applyBorder="1" applyAlignment="1" applyProtection="1">
      <alignment horizontal="left" vertical="center"/>
      <protection hidden="1"/>
    </xf>
    <xf numFmtId="0" fontId="33" fillId="0" borderId="6" xfId="0" applyFont="1" applyBorder="1" applyProtection="1">
      <protection hidden="1"/>
    </xf>
    <xf numFmtId="0" fontId="27" fillId="0" borderId="6" xfId="0" applyFont="1" applyBorder="1" applyProtection="1">
      <protection hidden="1"/>
    </xf>
    <xf numFmtId="0" fontId="28" fillId="0" borderId="39" xfId="0" applyFont="1" applyBorder="1" applyAlignment="1" applyProtection="1">
      <alignment vertical="center"/>
      <protection hidden="1"/>
    </xf>
    <xf numFmtId="171" fontId="52" fillId="0" borderId="42" xfId="6" applyNumberFormat="1" applyFont="1" applyFill="1" applyBorder="1" applyAlignment="1" applyProtection="1">
      <alignment horizontal="right" vertical="center" shrinkToFit="1"/>
      <protection hidden="1"/>
    </xf>
    <xf numFmtId="165" fontId="26" fillId="0" borderId="42" xfId="0" applyNumberFormat="1" applyFont="1" applyBorder="1" applyAlignment="1" applyProtection="1">
      <alignment horizontal="right" vertical="center" shrinkToFit="1"/>
      <protection hidden="1"/>
    </xf>
    <xf numFmtId="0" fontId="32" fillId="0" borderId="38" xfId="0" applyFont="1" applyBorder="1" applyAlignment="1" applyProtection="1">
      <alignment vertical="center" shrinkToFit="1"/>
      <protection hidden="1"/>
    </xf>
    <xf numFmtId="0" fontId="32" fillId="0" borderId="39" xfId="0" applyFont="1" applyBorder="1" applyAlignment="1" applyProtection="1">
      <alignment vertical="center" shrinkToFit="1"/>
      <protection hidden="1"/>
    </xf>
    <xf numFmtId="0" fontId="32" fillId="0" borderId="40" xfId="0" applyFont="1" applyBorder="1" applyAlignment="1" applyProtection="1">
      <alignment vertical="center" shrinkToFit="1"/>
      <protection hidden="1"/>
    </xf>
    <xf numFmtId="1" fontId="52" fillId="0" borderId="54" xfId="6" applyNumberFormat="1" applyFont="1" applyFill="1" applyBorder="1" applyAlignment="1" applyProtection="1">
      <alignment horizontal="center" vertical="center" shrinkToFit="1"/>
      <protection locked="0"/>
    </xf>
    <xf numFmtId="1" fontId="52" fillId="0" borderId="55" xfId="6" applyNumberFormat="1" applyFont="1" applyFill="1" applyBorder="1" applyAlignment="1" applyProtection="1">
      <alignment horizontal="center" vertical="center" shrinkToFit="1"/>
      <protection locked="0"/>
    </xf>
    <xf numFmtId="0" fontId="27" fillId="0" borderId="6" xfId="0" applyFont="1" applyBorder="1"/>
    <xf numFmtId="0" fontId="27" fillId="0" borderId="0" xfId="0" applyFont="1"/>
    <xf numFmtId="0" fontId="26" fillId="0" borderId="0" xfId="0" applyFont="1" applyAlignment="1" applyProtection="1">
      <alignment vertical="center" wrapText="1"/>
      <protection hidden="1"/>
    </xf>
    <xf numFmtId="0" fontId="26" fillId="0" borderId="26" xfId="0" applyFont="1" applyBorder="1" applyAlignment="1" applyProtection="1">
      <alignment vertical="center" wrapText="1"/>
      <protection hidden="1"/>
    </xf>
    <xf numFmtId="0" fontId="26" fillId="0" borderId="0" xfId="0" applyFont="1" applyAlignment="1" applyProtection="1">
      <alignment horizontal="left" vertical="center"/>
      <protection hidden="1"/>
    </xf>
    <xf numFmtId="0" fontId="26" fillId="0" borderId="16" xfId="0" applyFont="1" applyBorder="1" applyAlignment="1" applyProtection="1">
      <alignment vertical="center"/>
      <protection hidden="1"/>
    </xf>
    <xf numFmtId="0" fontId="26" fillId="0" borderId="12" xfId="0" applyFont="1" applyBorder="1" applyAlignment="1" applyProtection="1">
      <alignment vertical="center"/>
      <protection hidden="1"/>
    </xf>
    <xf numFmtId="0" fontId="34" fillId="7" borderId="22" xfId="0" applyFont="1" applyFill="1" applyBorder="1" applyAlignment="1">
      <alignment horizontal="center" vertical="center" wrapText="1"/>
    </xf>
    <xf numFmtId="0" fontId="34" fillId="7" borderId="1" xfId="0" applyFont="1" applyFill="1" applyBorder="1" applyAlignment="1" applyProtection="1">
      <alignment vertical="top" wrapText="1"/>
      <protection hidden="1"/>
    </xf>
    <xf numFmtId="0" fontId="34" fillId="7" borderId="4" xfId="0" applyFont="1" applyFill="1" applyBorder="1" applyAlignment="1">
      <alignment horizontal="center" vertical="center" wrapText="1"/>
    </xf>
    <xf numFmtId="0" fontId="34" fillId="7" borderId="1" xfId="0" applyFont="1" applyFill="1" applyBorder="1" applyAlignment="1" applyProtection="1">
      <alignment horizontal="left" vertical="center" wrapText="1"/>
      <protection hidden="1"/>
    </xf>
    <xf numFmtId="171" fontId="34" fillId="7" borderId="1" xfId="1" applyNumberFormat="1" applyFont="1" applyFill="1" applyBorder="1" applyAlignment="1" applyProtection="1">
      <alignment vertical="top" wrapText="1"/>
      <protection hidden="1"/>
    </xf>
    <xf numFmtId="0" fontId="34" fillId="7" borderId="59" xfId="0" applyFont="1" applyFill="1" applyBorder="1" applyAlignment="1" applyProtection="1">
      <alignment horizontal="justify" vertical="center" wrapText="1"/>
      <protection hidden="1"/>
    </xf>
    <xf numFmtId="172" fontId="34" fillId="7" borderId="59" xfId="0" applyNumberFormat="1" applyFont="1" applyFill="1" applyBorder="1" applyAlignment="1" applyProtection="1">
      <alignment vertical="center"/>
      <protection hidden="1"/>
    </xf>
    <xf numFmtId="171" fontId="34" fillId="7" borderId="59" xfId="1" applyNumberFormat="1" applyFont="1" applyFill="1" applyBorder="1" applyAlignment="1" applyProtection="1">
      <alignment vertical="top" wrapText="1"/>
      <protection hidden="1"/>
    </xf>
    <xf numFmtId="0" fontId="34" fillId="7" borderId="1" xfId="0" applyFont="1" applyFill="1" applyBorder="1" applyAlignment="1">
      <alignment horizontal="center" vertical="center" wrapText="1"/>
    </xf>
    <xf numFmtId="171" fontId="34" fillId="7" borderId="1" xfId="1" applyNumberFormat="1" applyFont="1" applyFill="1" applyBorder="1" applyAlignment="1" applyProtection="1">
      <alignment horizontal="left" vertical="top" shrinkToFit="1"/>
      <protection locked="0"/>
    </xf>
    <xf numFmtId="0" fontId="34" fillId="7" borderId="22" xfId="0" applyFont="1" applyFill="1" applyBorder="1" applyAlignment="1">
      <alignment horizontal="center" vertical="center"/>
    </xf>
    <xf numFmtId="171" fontId="34" fillId="7" borderId="1" xfId="1" applyNumberFormat="1" applyFont="1" applyFill="1" applyBorder="1" applyAlignment="1" applyProtection="1">
      <alignment horizontal="left" vertical="center" shrinkToFit="1"/>
      <protection hidden="1"/>
    </xf>
    <xf numFmtId="171" fontId="34" fillId="7" borderId="13" xfId="1" applyNumberFormat="1" applyFont="1" applyFill="1" applyBorder="1" applyAlignment="1" applyProtection="1">
      <alignment vertical="center" shrinkToFit="1"/>
      <protection locked="0" hidden="1"/>
    </xf>
    <xf numFmtId="171" fontId="34" fillId="7" borderId="14" xfId="1" applyNumberFormat="1" applyFont="1" applyFill="1" applyBorder="1" applyAlignment="1" applyProtection="1">
      <alignment vertical="center" shrinkToFit="1"/>
      <protection locked="0" hidden="1"/>
    </xf>
    <xf numFmtId="171" fontId="34" fillId="7" borderId="15" xfId="1" applyNumberFormat="1" applyFont="1" applyFill="1" applyBorder="1" applyAlignment="1" applyProtection="1">
      <alignment vertical="center" shrinkToFit="1"/>
      <protection locked="0" hidden="1"/>
    </xf>
    <xf numFmtId="0" fontId="34" fillId="7" borderId="4" xfId="0" applyFont="1" applyFill="1" applyBorder="1" applyAlignment="1">
      <alignment horizontal="left" vertical="center"/>
    </xf>
    <xf numFmtId="0" fontId="34" fillId="7" borderId="2" xfId="0" applyFont="1" applyFill="1" applyBorder="1" applyAlignment="1" applyProtection="1">
      <alignment horizontal="left" vertical="center"/>
      <protection hidden="1"/>
    </xf>
    <xf numFmtId="171" fontId="34" fillId="7" borderId="1" xfId="1" applyNumberFormat="1" applyFont="1" applyFill="1" applyBorder="1" applyAlignment="1" applyProtection="1">
      <alignment horizontal="left" vertical="center" shrinkToFit="1"/>
      <protection locked="0"/>
    </xf>
    <xf numFmtId="171" fontId="34" fillId="7" borderId="6" xfId="1" applyNumberFormat="1" applyFont="1" applyFill="1" applyBorder="1" applyAlignment="1" applyProtection="1">
      <alignment vertical="center" shrinkToFit="1"/>
      <protection locked="0" hidden="1"/>
    </xf>
    <xf numFmtId="171" fontId="34" fillId="7" borderId="0" xfId="1" applyNumberFormat="1" applyFont="1" applyFill="1" applyBorder="1" applyAlignment="1" applyProtection="1">
      <alignment vertical="center" shrinkToFit="1"/>
      <protection locked="0" hidden="1"/>
    </xf>
    <xf numFmtId="171" fontId="34" fillId="7" borderId="26" xfId="1" applyNumberFormat="1" applyFont="1" applyFill="1" applyBorder="1" applyAlignment="1" applyProtection="1">
      <alignment vertical="center" shrinkToFit="1"/>
      <protection locked="0" hidden="1"/>
    </xf>
    <xf numFmtId="172" fontId="34" fillId="7" borderId="5" xfId="0" applyNumberFormat="1" applyFont="1" applyFill="1" applyBorder="1" applyAlignment="1" applyProtection="1">
      <alignment horizontal="left" vertical="center"/>
      <protection hidden="1"/>
    </xf>
    <xf numFmtId="172" fontId="34" fillId="7" borderId="3" xfId="0" applyNumberFormat="1" applyFont="1" applyFill="1" applyBorder="1" applyAlignment="1" applyProtection="1">
      <alignment horizontal="left" vertical="center"/>
      <protection hidden="1"/>
    </xf>
    <xf numFmtId="172" fontId="34" fillId="7" borderId="5" xfId="0" applyNumberFormat="1" applyFont="1" applyFill="1" applyBorder="1" applyAlignment="1" applyProtection="1">
      <alignment vertical="center"/>
      <protection hidden="1"/>
    </xf>
    <xf numFmtId="172" fontId="34" fillId="7" borderId="3" xfId="0" applyNumberFormat="1" applyFont="1" applyFill="1" applyBorder="1" applyAlignment="1" applyProtection="1">
      <alignment vertical="center"/>
      <protection hidden="1"/>
    </xf>
    <xf numFmtId="0" fontId="34" fillId="7" borderId="23" xfId="0" applyFont="1" applyFill="1" applyBorder="1" applyAlignment="1">
      <alignment horizontal="left" vertical="center"/>
    </xf>
    <xf numFmtId="0" fontId="34" fillId="7" borderId="4" xfId="0" applyFont="1" applyFill="1" applyBorder="1" applyAlignment="1">
      <alignment horizontal="center" vertical="center"/>
    </xf>
    <xf numFmtId="0" fontId="34" fillId="7" borderId="5" xfId="0" applyFont="1" applyFill="1" applyBorder="1" applyAlignment="1" applyProtection="1">
      <alignment horizontal="left" vertical="center"/>
      <protection hidden="1"/>
    </xf>
    <xf numFmtId="0" fontId="34" fillId="7" borderId="3" xfId="0" applyFont="1" applyFill="1" applyBorder="1" applyAlignment="1" applyProtection="1">
      <alignment horizontal="left" vertical="center"/>
      <protection hidden="1"/>
    </xf>
    <xf numFmtId="171" fontId="34" fillId="7" borderId="16" xfId="1" applyNumberFormat="1" applyFont="1" applyFill="1" applyBorder="1" applyAlignment="1" applyProtection="1">
      <alignment vertical="center" shrinkToFit="1"/>
      <protection locked="0" hidden="1"/>
    </xf>
    <xf numFmtId="171" fontId="34" fillId="7" borderId="12" xfId="1" applyNumberFormat="1" applyFont="1" applyFill="1" applyBorder="1" applyAlignment="1" applyProtection="1">
      <alignment vertical="center" shrinkToFit="1"/>
      <protection locked="0" hidden="1"/>
    </xf>
    <xf numFmtId="171" fontId="34" fillId="7" borderId="17" xfId="1" applyNumberFormat="1" applyFont="1" applyFill="1" applyBorder="1" applyAlignment="1" applyProtection="1">
      <alignment vertical="center" shrinkToFit="1"/>
      <protection locked="0" hidden="1"/>
    </xf>
    <xf numFmtId="0" fontId="34" fillId="7" borderId="13" xfId="0" applyFont="1" applyFill="1" applyBorder="1" applyAlignment="1" applyProtection="1">
      <alignment horizontal="left"/>
      <protection locked="0"/>
    </xf>
    <xf numFmtId="0" fontId="34" fillId="7" borderId="14" xfId="0" applyFont="1" applyFill="1" applyBorder="1" applyAlignment="1" applyProtection="1">
      <alignment wrapText="1"/>
      <protection locked="0"/>
    </xf>
    <xf numFmtId="0" fontId="34" fillId="7" borderId="0" xfId="0" applyFont="1" applyFill="1" applyAlignment="1" applyProtection="1">
      <alignment wrapText="1"/>
      <protection locked="0"/>
    </xf>
    <xf numFmtId="0" fontId="34" fillId="7" borderId="16" xfId="0" applyFont="1" applyFill="1" applyBorder="1" applyAlignment="1" applyProtection="1">
      <alignment horizontal="left" vertical="top"/>
      <protection locked="0"/>
    </xf>
    <xf numFmtId="0" fontId="34" fillId="7" borderId="12" xfId="0" applyFont="1" applyFill="1" applyBorder="1" applyAlignment="1" applyProtection="1">
      <alignment wrapText="1"/>
      <protection locked="0"/>
    </xf>
    <xf numFmtId="41" fontId="36" fillId="0" borderId="60" xfId="0" applyNumberFormat="1" applyFont="1" applyBorder="1" applyAlignment="1" applyProtection="1">
      <alignment vertical="center" shrinkToFit="1"/>
      <protection hidden="1"/>
    </xf>
    <xf numFmtId="3" fontId="0" fillId="0" borderId="0" xfId="0" applyNumberFormat="1"/>
    <xf numFmtId="3" fontId="37" fillId="0" borderId="1" xfId="0" applyNumberFormat="1" applyFont="1" applyBorder="1" applyProtection="1">
      <protection hidden="1"/>
    </xf>
    <xf numFmtId="9" fontId="37" fillId="0" borderId="1" xfId="7" applyFont="1" applyBorder="1" applyProtection="1">
      <protection hidden="1"/>
    </xf>
    <xf numFmtId="0" fontId="0" fillId="5" borderId="1" xfId="0" applyFill="1" applyBorder="1" applyAlignment="1">
      <alignment horizontal="center" vertical="center"/>
    </xf>
    <xf numFmtId="41" fontId="37" fillId="0" borderId="1" xfId="0" applyNumberFormat="1" applyFont="1" applyBorder="1" applyProtection="1">
      <protection hidden="1"/>
    </xf>
    <xf numFmtId="0" fontId="0" fillId="0" borderId="0" xfId="0" applyProtection="1">
      <protection hidden="1"/>
    </xf>
    <xf numFmtId="41" fontId="37" fillId="0" borderId="1" xfId="0" applyNumberFormat="1" applyFont="1" applyBorder="1" applyAlignment="1" applyProtection="1">
      <alignment vertical="center" shrinkToFit="1"/>
      <protection hidden="1"/>
    </xf>
    <xf numFmtId="3" fontId="37" fillId="0" borderId="1" xfId="0" applyNumberFormat="1" applyFont="1" applyBorder="1" applyAlignment="1" applyProtection="1">
      <alignment horizontal="right"/>
      <protection hidden="1"/>
    </xf>
    <xf numFmtId="41" fontId="37" fillId="0" borderId="1" xfId="0" applyNumberFormat="1" applyFont="1" applyBorder="1" applyAlignment="1" applyProtection="1">
      <alignment horizontal="right"/>
      <protection hidden="1"/>
    </xf>
    <xf numFmtId="41" fontId="0" fillId="0" borderId="0" xfId="0" applyNumberFormat="1" applyProtection="1">
      <protection hidden="1"/>
    </xf>
    <xf numFmtId="0" fontId="18" fillId="0" borderId="1" xfId="0" applyFont="1" applyBorder="1" applyAlignment="1" applyProtection="1">
      <alignment horizontal="center" vertical="center" shrinkToFit="1"/>
      <protection locked="0"/>
    </xf>
    <xf numFmtId="41" fontId="52" fillId="0" borderId="35" xfId="6" applyNumberFormat="1" applyFont="1" applyFill="1" applyBorder="1" applyAlignment="1" applyProtection="1">
      <alignment horizontal="right" vertical="center"/>
      <protection hidden="1"/>
    </xf>
    <xf numFmtId="41" fontId="53" fillId="0" borderId="36" xfId="6" applyNumberFormat="1" applyFont="1" applyFill="1" applyBorder="1" applyAlignment="1" applyProtection="1">
      <alignment horizontal="right" vertical="center" shrinkToFit="1"/>
      <protection hidden="1"/>
    </xf>
    <xf numFmtId="41" fontId="52" fillId="0" borderId="37" xfId="6" applyNumberFormat="1" applyFont="1" applyFill="1" applyBorder="1" applyAlignment="1" applyProtection="1">
      <alignment horizontal="right" vertical="center" shrinkToFit="1"/>
      <protection hidden="1"/>
    </xf>
    <xf numFmtId="41" fontId="26" fillId="0" borderId="41" xfId="0" applyNumberFormat="1" applyFont="1" applyBorder="1" applyAlignment="1" applyProtection="1">
      <alignment horizontal="right" vertical="center"/>
      <protection hidden="1"/>
    </xf>
    <xf numFmtId="41" fontId="52" fillId="0" borderId="40" xfId="6" applyNumberFormat="1" applyFont="1" applyFill="1" applyBorder="1" applyAlignment="1" applyProtection="1">
      <alignment horizontal="right" vertical="center" shrinkToFit="1"/>
      <protection hidden="1"/>
    </xf>
    <xf numFmtId="41" fontId="52" fillId="0" borderId="41" xfId="6" applyNumberFormat="1" applyFont="1" applyFill="1" applyBorder="1" applyAlignment="1" applyProtection="1">
      <alignment horizontal="right" vertical="center"/>
      <protection hidden="1"/>
    </xf>
    <xf numFmtId="41" fontId="49" fillId="0" borderId="40" xfId="6" applyNumberFormat="1" applyFont="1" applyFill="1" applyBorder="1" applyAlignment="1" applyProtection="1">
      <alignment horizontal="right" vertical="center" shrinkToFit="1"/>
      <protection hidden="1"/>
    </xf>
    <xf numFmtId="41" fontId="54" fillId="0" borderId="41" xfId="6" applyNumberFormat="1" applyFont="1" applyFill="1" applyBorder="1" applyAlignment="1" applyProtection="1">
      <alignment horizontal="center" vertical="top" wrapText="1"/>
      <protection hidden="1"/>
    </xf>
    <xf numFmtId="41" fontId="54" fillId="0" borderId="42" xfId="6" applyNumberFormat="1" applyFont="1" applyFill="1" applyBorder="1" applyAlignment="1" applyProtection="1">
      <alignment horizontal="center" vertical="top" wrapText="1"/>
      <protection hidden="1"/>
    </xf>
    <xf numFmtId="41" fontId="54" fillId="0" borderId="40" xfId="6" applyNumberFormat="1" applyFont="1" applyFill="1" applyBorder="1" applyAlignment="1" applyProtection="1">
      <alignment horizontal="center" vertical="top" wrapText="1"/>
      <protection hidden="1"/>
    </xf>
    <xf numFmtId="41" fontId="52" fillId="0" borderId="45" xfId="6" applyNumberFormat="1" applyFont="1" applyFill="1" applyBorder="1" applyAlignment="1" applyProtection="1">
      <alignment horizontal="center" vertical="top" wrapText="1"/>
      <protection hidden="1"/>
    </xf>
    <xf numFmtId="41" fontId="52" fillId="0" borderId="46" xfId="6" applyNumberFormat="1" applyFont="1" applyFill="1" applyBorder="1" applyAlignment="1" applyProtection="1">
      <alignment horizontal="center" vertical="top" wrapText="1"/>
      <protection hidden="1"/>
    </xf>
    <xf numFmtId="41" fontId="52" fillId="0" borderId="26" xfId="6" applyNumberFormat="1" applyFont="1" applyFill="1" applyBorder="1" applyAlignment="1" applyProtection="1">
      <alignment horizontal="center" vertical="top" wrapText="1"/>
      <protection hidden="1"/>
    </xf>
    <xf numFmtId="41" fontId="52" fillId="0" borderId="1" xfId="6" applyNumberFormat="1" applyFont="1" applyFill="1" applyBorder="1" applyAlignment="1" applyProtection="1">
      <alignment horizontal="right" vertical="center"/>
      <protection hidden="1"/>
    </xf>
    <xf numFmtId="0" fontId="27" fillId="0" borderId="5" xfId="0" applyFont="1" applyBorder="1" applyAlignment="1" applyProtection="1">
      <alignment horizontal="left" vertical="center"/>
      <protection hidden="1"/>
    </xf>
    <xf numFmtId="0" fontId="27" fillId="0" borderId="54" xfId="0" applyFont="1" applyBorder="1" applyAlignment="1" applyProtection="1">
      <alignment horizontal="center" vertical="center" wrapText="1"/>
      <protection hidden="1"/>
    </xf>
    <xf numFmtId="0" fontId="0" fillId="0" borderId="23" xfId="0" applyBorder="1" applyAlignment="1">
      <alignment horizontal="left" vertical="center"/>
    </xf>
    <xf numFmtId="0" fontId="26" fillId="0" borderId="53" xfId="0" applyFont="1" applyBorder="1" applyAlignment="1" applyProtection="1">
      <alignment horizontal="center" vertical="center" shrinkToFit="1"/>
      <protection hidden="1"/>
    </xf>
    <xf numFmtId="3" fontId="26" fillId="0" borderId="54" xfId="0" applyNumberFormat="1" applyFont="1" applyBorder="1" applyAlignment="1" applyProtection="1">
      <alignment vertical="center" shrinkToFit="1"/>
      <protection hidden="1"/>
    </xf>
    <xf numFmtId="41" fontId="30" fillId="0" borderId="1" xfId="0" applyNumberFormat="1" applyFont="1" applyBorder="1" applyAlignment="1" applyProtection="1">
      <alignment vertical="center" shrinkToFit="1"/>
      <protection hidden="1"/>
    </xf>
    <xf numFmtId="41" fontId="30" fillId="0" borderId="2" xfId="0" applyNumberFormat="1" applyFont="1" applyBorder="1" applyAlignment="1" applyProtection="1">
      <alignment vertical="center" shrinkToFit="1"/>
      <protection hidden="1"/>
    </xf>
    <xf numFmtId="41" fontId="21" fillId="0" borderId="4" xfId="0" applyNumberFormat="1" applyFont="1" applyBorder="1" applyAlignment="1" applyProtection="1">
      <alignment vertical="center" shrinkToFit="1"/>
      <protection hidden="1"/>
    </xf>
    <xf numFmtId="41" fontId="52" fillId="0" borderId="22" xfId="6" applyNumberFormat="1" applyFont="1" applyFill="1" applyBorder="1" applyAlignment="1" applyProtection="1">
      <alignment vertical="center"/>
      <protection hidden="1"/>
    </xf>
    <xf numFmtId="41" fontId="52" fillId="0" borderId="4" xfId="6" applyNumberFormat="1" applyFont="1" applyFill="1" applyBorder="1" applyAlignment="1" applyProtection="1">
      <alignment vertical="center"/>
      <protection hidden="1"/>
    </xf>
    <xf numFmtId="41" fontId="52" fillId="0" borderId="23" xfId="6" applyNumberFormat="1" applyFont="1" applyFill="1" applyBorder="1" applyAlignment="1" applyProtection="1">
      <alignment vertical="center"/>
      <protection hidden="1"/>
    </xf>
    <xf numFmtId="0" fontId="26" fillId="0" borderId="1" xfId="0" applyFont="1" applyBorder="1" applyAlignment="1" applyProtection="1">
      <alignment horizontal="center" vertical="center" wrapText="1" shrinkToFit="1"/>
      <protection hidden="1"/>
    </xf>
    <xf numFmtId="41" fontId="26" fillId="0" borderId="22" xfId="0" applyNumberFormat="1" applyFont="1" applyBorder="1" applyAlignment="1" applyProtection="1">
      <alignment horizontal="center" vertical="center" wrapText="1" shrinkToFit="1"/>
      <protection hidden="1"/>
    </xf>
    <xf numFmtId="0" fontId="0" fillId="0" borderId="2" xfId="0" applyBorder="1"/>
    <xf numFmtId="0" fontId="70" fillId="0" borderId="6" xfId="0" applyFont="1" applyBorder="1" applyAlignment="1" applyProtection="1">
      <alignment vertical="center"/>
      <protection hidden="1"/>
    </xf>
    <xf numFmtId="0" fontId="0" fillId="0" borderId="6" xfId="0" applyBorder="1" applyAlignment="1" applyProtection="1">
      <alignment vertical="center"/>
      <protection hidden="1"/>
    </xf>
    <xf numFmtId="0" fontId="35" fillId="0" borderId="0" xfId="0" applyFont="1" applyAlignment="1" applyProtection="1">
      <alignment vertical="center" wrapText="1"/>
      <protection hidden="1"/>
    </xf>
    <xf numFmtId="0" fontId="35" fillId="0" borderId="26" xfId="0" applyFont="1" applyBorder="1" applyAlignment="1" applyProtection="1">
      <alignment vertical="center" wrapText="1"/>
      <protection hidden="1"/>
    </xf>
    <xf numFmtId="0" fontId="35" fillId="0" borderId="6" xfId="0" applyFont="1" applyBorder="1" applyAlignment="1" applyProtection="1">
      <alignment vertical="center"/>
      <protection hidden="1"/>
    </xf>
    <xf numFmtId="0" fontId="35" fillId="0" borderId="0" xfId="0" applyFont="1" applyAlignment="1" applyProtection="1">
      <alignment horizontal="right" vertical="center"/>
      <protection hidden="1"/>
    </xf>
    <xf numFmtId="0" fontId="0" fillId="0" borderId="0" xfId="0" applyAlignment="1" applyProtection="1">
      <alignment vertical="center"/>
      <protection hidden="1"/>
    </xf>
    <xf numFmtId="0" fontId="0" fillId="0" borderId="26" xfId="0" applyBorder="1" applyProtection="1">
      <protection hidden="1"/>
    </xf>
    <xf numFmtId="0" fontId="71" fillId="0" borderId="6" xfId="0" applyFont="1" applyBorder="1" applyAlignment="1" applyProtection="1">
      <alignment vertical="center"/>
      <protection hidden="1"/>
    </xf>
    <xf numFmtId="0" fontId="72" fillId="0" borderId="26" xfId="0" applyFont="1" applyBorder="1" applyAlignment="1" applyProtection="1">
      <alignment horizontal="left" vertical="center"/>
      <protection hidden="1"/>
    </xf>
    <xf numFmtId="0" fontId="73" fillId="0" borderId="26" xfId="0" applyFont="1" applyBorder="1" applyAlignment="1" applyProtection="1">
      <alignment horizontal="left" vertical="center" wrapText="1"/>
      <protection hidden="1"/>
    </xf>
    <xf numFmtId="0" fontId="73" fillId="0" borderId="26" xfId="0" applyFont="1" applyBorder="1" applyAlignment="1" applyProtection="1">
      <alignment vertical="center" wrapText="1"/>
      <protection hidden="1"/>
    </xf>
    <xf numFmtId="0" fontId="35" fillId="0" borderId="26" xfId="0" applyFont="1" applyBorder="1" applyAlignment="1" applyProtection="1">
      <alignment vertical="center"/>
      <protection hidden="1"/>
    </xf>
    <xf numFmtId="0" fontId="35" fillId="0" borderId="6" xfId="0" applyFont="1" applyBorder="1" applyAlignment="1" applyProtection="1">
      <alignment vertical="center" wrapText="1"/>
      <protection hidden="1"/>
    </xf>
    <xf numFmtId="0" fontId="35" fillId="0" borderId="16" xfId="0" applyFont="1" applyBorder="1" applyAlignment="1" applyProtection="1">
      <alignment vertical="center"/>
      <protection hidden="1"/>
    </xf>
    <xf numFmtId="0" fontId="35" fillId="0" borderId="12" xfId="0" applyFont="1" applyBorder="1" applyAlignment="1" applyProtection="1">
      <alignment vertical="center"/>
      <protection hidden="1"/>
    </xf>
    <xf numFmtId="0" fontId="35" fillId="0" borderId="17" xfId="0" applyFont="1" applyBorder="1" applyAlignment="1" applyProtection="1">
      <alignment vertical="center"/>
      <protection hidden="1"/>
    </xf>
    <xf numFmtId="0" fontId="0" fillId="0" borderId="0" xfId="0" applyAlignment="1" applyProtection="1">
      <alignment vertical="center"/>
      <protection locked="0" hidden="1"/>
    </xf>
    <xf numFmtId="0" fontId="0" fillId="0" borderId="0" xfId="0" applyProtection="1">
      <protection locked="0" hidden="1"/>
    </xf>
    <xf numFmtId="0" fontId="0" fillId="0" borderId="0" xfId="0" applyAlignment="1" applyProtection="1">
      <alignment horizontal="center" vertical="center"/>
      <protection locked="0" hidden="1"/>
    </xf>
    <xf numFmtId="0" fontId="76" fillId="0" borderId="61" xfId="0" applyFont="1" applyBorder="1" applyAlignment="1" applyProtection="1">
      <alignment vertical="center"/>
      <protection locked="0" hidden="1"/>
    </xf>
    <xf numFmtId="0" fontId="76" fillId="0" borderId="62" xfId="0" applyFont="1" applyBorder="1" applyAlignment="1" applyProtection="1">
      <alignment horizontal="center" vertical="center"/>
      <protection locked="0" hidden="1"/>
    </xf>
    <xf numFmtId="0" fontId="76" fillId="0" borderId="0" xfId="0" applyFont="1" applyAlignment="1" applyProtection="1">
      <alignment horizontal="center" vertical="center"/>
      <protection locked="0" hidden="1"/>
    </xf>
    <xf numFmtId="0" fontId="77" fillId="0" borderId="1" xfId="0" applyFont="1" applyBorder="1" applyAlignment="1" applyProtection="1">
      <alignment vertical="center"/>
      <protection locked="0" hidden="1"/>
    </xf>
    <xf numFmtId="0" fontId="77" fillId="0" borderId="1" xfId="0" applyFont="1" applyBorder="1" applyAlignment="1" applyProtection="1">
      <alignment horizontal="center" vertical="center"/>
      <protection hidden="1"/>
    </xf>
    <xf numFmtId="0" fontId="71" fillId="0" borderId="3" xfId="0" applyFont="1" applyBorder="1" applyAlignment="1" applyProtection="1">
      <alignment horizontal="left" vertical="center"/>
      <protection hidden="1"/>
    </xf>
    <xf numFmtId="0" fontId="71" fillId="0" borderId="1" xfId="0" applyFont="1" applyBorder="1" applyAlignment="1" applyProtection="1">
      <alignment horizontal="left" vertical="center"/>
      <protection hidden="1"/>
    </xf>
    <xf numFmtId="0" fontId="76" fillId="0" borderId="3" xfId="0" applyFont="1" applyBorder="1" applyAlignment="1" applyProtection="1">
      <alignment horizontal="center" vertical="center"/>
      <protection hidden="1"/>
    </xf>
    <xf numFmtId="0" fontId="76" fillId="0" borderId="1" xfId="0" applyFont="1" applyBorder="1" applyAlignment="1" applyProtection="1">
      <alignment horizontal="center" vertical="center"/>
      <protection hidden="1"/>
    </xf>
    <xf numFmtId="3" fontId="78" fillId="0" borderId="1" xfId="0" applyNumberFormat="1" applyFont="1" applyBorder="1" applyAlignment="1" applyProtection="1">
      <alignment vertical="center"/>
      <protection locked="0" hidden="1"/>
    </xf>
    <xf numFmtId="0" fontId="78" fillId="0" borderId="1" xfId="0" applyFont="1" applyBorder="1" applyAlignment="1" applyProtection="1">
      <alignment vertical="center"/>
      <protection locked="0" hidden="1"/>
    </xf>
    <xf numFmtId="14" fontId="0" fillId="9" borderId="1" xfId="0" applyNumberFormat="1" applyFill="1" applyBorder="1"/>
    <xf numFmtId="0" fontId="11" fillId="5" borderId="3" xfId="0" applyFont="1" applyFill="1" applyBorder="1" applyAlignment="1">
      <alignment horizontal="right"/>
    </xf>
    <xf numFmtId="0" fontId="9" fillId="0" borderId="0" xfId="0" applyFont="1" applyAlignment="1">
      <alignment vertical="top" wrapText="1"/>
    </xf>
    <xf numFmtId="14" fontId="0" fillId="0" borderId="2" xfId="0" applyNumberFormat="1" applyBorder="1"/>
    <xf numFmtId="1" fontId="0" fillId="0" borderId="63" xfId="0" applyNumberFormat="1" applyBorder="1"/>
    <xf numFmtId="0" fontId="0" fillId="0" borderId="64" xfId="0" applyBorder="1"/>
    <xf numFmtId="1" fontId="0" fillId="0" borderId="65" xfId="0" applyNumberFormat="1" applyBorder="1"/>
    <xf numFmtId="1" fontId="0" fillId="0" borderId="66" xfId="0" applyNumberFormat="1" applyBorder="1"/>
    <xf numFmtId="0" fontId="9" fillId="9" borderId="67" xfId="0" applyFont="1" applyFill="1" applyBorder="1" applyAlignment="1">
      <alignment horizontal="center" vertical="center" wrapText="1"/>
    </xf>
    <xf numFmtId="0" fontId="0" fillId="9" borderId="68" xfId="0" applyFill="1" applyBorder="1" applyAlignment="1">
      <alignment horizontal="center" vertical="center"/>
    </xf>
    <xf numFmtId="0" fontId="0" fillId="0" borderId="69" xfId="0" applyBorder="1"/>
    <xf numFmtId="0" fontId="0" fillId="9" borderId="1" xfId="0" applyFill="1" applyBorder="1" applyAlignment="1">
      <alignment horizontal="left" vertical="center"/>
    </xf>
    <xf numFmtId="0" fontId="0" fillId="9" borderId="22" xfId="0" applyFill="1" applyBorder="1" applyAlignment="1">
      <alignment horizontal="left" vertical="center"/>
    </xf>
    <xf numFmtId="0" fontId="0" fillId="0" borderId="70" xfId="0" applyBorder="1"/>
    <xf numFmtId="1" fontId="0" fillId="0" borderId="26" xfId="0" applyNumberFormat="1" applyBorder="1"/>
    <xf numFmtId="1" fontId="0" fillId="0" borderId="17" xfId="0" applyNumberFormat="1" applyBorder="1"/>
    <xf numFmtId="14" fontId="9" fillId="0" borderId="0" xfId="0" applyNumberFormat="1" applyFont="1" applyAlignment="1">
      <alignment horizontal="center" vertical="center" wrapText="1"/>
    </xf>
    <xf numFmtId="0" fontId="66" fillId="7" borderId="1" xfId="0" quotePrefix="1" applyFont="1" applyFill="1" applyBorder="1" applyAlignment="1">
      <alignment horizontal="center" vertical="center" wrapText="1"/>
    </xf>
    <xf numFmtId="0" fontId="34" fillId="7" borderId="2" xfId="0" applyFont="1" applyFill="1" applyBorder="1" applyAlignment="1" applyProtection="1">
      <alignment vertical="center"/>
      <protection hidden="1"/>
    </xf>
    <xf numFmtId="0" fontId="80" fillId="0" borderId="5" xfId="0" applyFont="1" applyBorder="1" applyAlignment="1" applyProtection="1">
      <alignment horizontal="right" vertical="center"/>
      <protection hidden="1"/>
    </xf>
    <xf numFmtId="41" fontId="0" fillId="0" borderId="0" xfId="0" applyNumberFormat="1" applyProtection="1">
      <protection locked="0" hidden="1"/>
    </xf>
    <xf numFmtId="41" fontId="23" fillId="0" borderId="71" xfId="0" applyNumberFormat="1" applyFont="1" applyBorder="1" applyAlignment="1" applyProtection="1">
      <alignment vertical="center" shrinkToFit="1"/>
      <protection hidden="1"/>
    </xf>
    <xf numFmtId="41" fontId="23" fillId="0" borderId="48" xfId="0" applyNumberFormat="1" applyFont="1" applyBorder="1" applyAlignment="1" applyProtection="1">
      <alignment horizontal="left" vertical="center" shrinkToFit="1"/>
      <protection hidden="1"/>
    </xf>
    <xf numFmtId="0" fontId="21" fillId="0" borderId="15" xfId="0" applyFont="1" applyBorder="1" applyAlignment="1" applyProtection="1">
      <alignment horizontal="center" vertical="top" wrapText="1" shrinkToFit="1"/>
      <protection hidden="1"/>
    </xf>
    <xf numFmtId="41" fontId="21" fillId="0" borderId="3" xfId="0" applyNumberFormat="1" applyFont="1" applyBorder="1" applyAlignment="1" applyProtection="1">
      <alignment vertical="center" shrinkToFit="1"/>
      <protection hidden="1"/>
    </xf>
    <xf numFmtId="41" fontId="30" fillId="0" borderId="3" xfId="0" applyNumberFormat="1" applyFont="1" applyBorder="1" applyAlignment="1" applyProtection="1">
      <alignment vertical="center" shrinkToFit="1"/>
      <protection hidden="1"/>
    </xf>
    <xf numFmtId="0" fontId="23" fillId="0" borderId="1" xfId="0" applyFont="1" applyBorder="1" applyAlignment="1" applyProtection="1">
      <alignment vertical="center"/>
      <protection hidden="1"/>
    </xf>
    <xf numFmtId="0" fontId="21" fillId="0" borderId="1" xfId="0" applyFont="1" applyBorder="1" applyAlignment="1" applyProtection="1">
      <alignment vertical="center" shrinkToFit="1"/>
      <protection hidden="1"/>
    </xf>
    <xf numFmtId="41" fontId="36" fillId="0" borderId="1" xfId="0" applyNumberFormat="1" applyFont="1" applyBorder="1" applyAlignment="1" applyProtection="1">
      <alignment vertical="center"/>
      <protection hidden="1"/>
    </xf>
    <xf numFmtId="0" fontId="34" fillId="7" borderId="5" xfId="0" applyFont="1" applyFill="1" applyBorder="1" applyAlignment="1" applyProtection="1">
      <alignment vertical="center"/>
      <protection hidden="1"/>
    </xf>
    <xf numFmtId="0" fontId="85" fillId="0" borderId="1" xfId="0" applyFont="1" applyBorder="1" applyAlignment="1" applyProtection="1">
      <alignment vertical="center"/>
      <protection hidden="1"/>
    </xf>
    <xf numFmtId="0" fontId="85" fillId="0" borderId="1" xfId="0" applyFont="1" applyBorder="1" applyProtection="1">
      <protection hidden="1"/>
    </xf>
    <xf numFmtId="14" fontId="0" fillId="8" borderId="1" xfId="0" applyNumberFormat="1" applyFill="1" applyBorder="1"/>
    <xf numFmtId="173" fontId="11" fillId="8" borderId="1" xfId="0" applyNumberFormat="1" applyFont="1" applyFill="1" applyBorder="1"/>
    <xf numFmtId="0" fontId="11" fillId="0" borderId="0" xfId="0" applyFont="1"/>
    <xf numFmtId="0" fontId="16" fillId="0" borderId="0" xfId="0" applyFont="1" applyAlignment="1" applyProtection="1">
      <alignment horizontal="center" vertical="center"/>
      <protection hidden="1"/>
    </xf>
    <xf numFmtId="0" fontId="0" fillId="0" borderId="1" xfId="0" applyBorder="1" applyProtection="1">
      <protection hidden="1"/>
    </xf>
    <xf numFmtId="41" fontId="0" fillId="0" borderId="1" xfId="0" applyNumberFormat="1" applyBorder="1" applyProtection="1">
      <protection hidden="1"/>
    </xf>
    <xf numFmtId="0" fontId="26" fillId="0" borderId="1" xfId="0" applyFont="1" applyBorder="1" applyAlignment="1" applyProtection="1">
      <alignment vertical="center" shrinkToFit="1"/>
      <protection hidden="1"/>
    </xf>
    <xf numFmtId="41" fontId="26" fillId="0" borderId="48" xfId="0" applyNumberFormat="1" applyFont="1" applyBorder="1" applyAlignment="1" applyProtection="1">
      <alignment vertical="center" shrinkToFit="1"/>
      <protection hidden="1"/>
    </xf>
    <xf numFmtId="9" fontId="0" fillId="0" borderId="1" xfId="0" applyNumberFormat="1" applyBorder="1" applyProtection="1">
      <protection hidden="1"/>
    </xf>
    <xf numFmtId="0" fontId="0" fillId="0" borderId="1" xfId="0" applyBorder="1" applyAlignment="1" applyProtection="1">
      <alignment horizontal="right"/>
      <protection hidden="1"/>
    </xf>
    <xf numFmtId="41" fontId="28" fillId="0" borderId="48" xfId="0" applyNumberFormat="1" applyFont="1" applyBorder="1" applyAlignment="1" applyProtection="1">
      <alignment vertical="center" shrinkToFit="1"/>
      <protection hidden="1"/>
    </xf>
    <xf numFmtId="41" fontId="26" fillId="0" borderId="3" xfId="0" applyNumberFormat="1" applyFont="1" applyBorder="1" applyAlignment="1" applyProtection="1">
      <alignment vertical="center" shrinkToFit="1"/>
      <protection hidden="1"/>
    </xf>
    <xf numFmtId="41" fontId="26" fillId="0" borderId="48" xfId="0" applyNumberFormat="1" applyFont="1" applyBorder="1" applyAlignment="1" applyProtection="1">
      <alignment horizontal="left" vertical="center" shrinkToFit="1"/>
      <protection hidden="1"/>
    </xf>
    <xf numFmtId="41" fontId="28" fillId="0" borderId="3" xfId="0" applyNumberFormat="1" applyFont="1" applyBorder="1" applyAlignment="1" applyProtection="1">
      <alignment vertical="center" shrinkToFit="1"/>
      <protection hidden="1"/>
    </xf>
    <xf numFmtId="41" fontId="26" fillId="0" borderId="1" xfId="0" applyNumberFormat="1" applyFont="1" applyBorder="1" applyAlignment="1" applyProtection="1">
      <alignment vertical="center" shrinkToFit="1"/>
      <protection hidden="1"/>
    </xf>
    <xf numFmtId="0" fontId="0" fillId="0" borderId="3" xfId="0" applyBorder="1" applyProtection="1">
      <protection hidden="1"/>
    </xf>
    <xf numFmtId="0" fontId="27" fillId="0" borderId="1" xfId="0" applyFont="1" applyBorder="1" applyProtection="1">
      <protection hidden="1"/>
    </xf>
    <xf numFmtId="0" fontId="0" fillId="5" borderId="1" xfId="0" applyFill="1" applyBorder="1" applyAlignment="1" applyProtection="1">
      <alignment horizontal="center"/>
      <protection hidden="1"/>
    </xf>
    <xf numFmtId="0" fontId="0" fillId="0" borderId="1" xfId="0" applyBorder="1" applyAlignment="1" applyProtection="1">
      <alignment horizontal="center"/>
      <protection hidden="1"/>
    </xf>
    <xf numFmtId="0" fontId="0" fillId="0" borderId="1" xfId="0" applyBorder="1" applyAlignment="1" applyProtection="1">
      <alignment horizontal="center" vertical="center"/>
      <protection hidden="1"/>
    </xf>
    <xf numFmtId="0" fontId="0" fillId="9" borderId="1" xfId="0" applyFill="1" applyBorder="1" applyProtection="1">
      <protection hidden="1"/>
    </xf>
    <xf numFmtId="0" fontId="27" fillId="0" borderId="0" xfId="0" applyFont="1" applyProtection="1">
      <protection hidden="1"/>
    </xf>
    <xf numFmtId="0" fontId="37" fillId="0" borderId="22" xfId="0" applyFont="1" applyBorder="1" applyProtection="1">
      <protection hidden="1"/>
    </xf>
    <xf numFmtId="0" fontId="37" fillId="0" borderId="1" xfId="0" applyFont="1" applyBorder="1" applyAlignment="1" applyProtection="1">
      <alignment horizontal="center" vertical="center"/>
      <protection locked="0"/>
    </xf>
    <xf numFmtId="0" fontId="5" fillId="0" borderId="1" xfId="0" applyFont="1" applyBorder="1" applyAlignment="1" applyProtection="1">
      <alignment horizontal="center" vertical="center" shrinkToFit="1"/>
      <protection locked="0"/>
    </xf>
    <xf numFmtId="0" fontId="0" fillId="5" borderId="0" xfId="0" applyFill="1"/>
    <xf numFmtId="3" fontId="0" fillId="5" borderId="0" xfId="0" applyNumberFormat="1" applyFill="1"/>
    <xf numFmtId="1" fontId="27" fillId="0" borderId="50" xfId="0" applyNumberFormat="1" applyFont="1" applyBorder="1" applyAlignment="1" applyProtection="1">
      <alignment vertical="center"/>
      <protection hidden="1"/>
    </xf>
    <xf numFmtId="1" fontId="29" fillId="0" borderId="50" xfId="0" applyNumberFormat="1" applyFont="1" applyBorder="1" applyAlignment="1" applyProtection="1">
      <alignment vertical="center"/>
      <protection hidden="1"/>
    </xf>
    <xf numFmtId="41" fontId="0" fillId="8" borderId="1" xfId="0" applyNumberFormat="1" applyFill="1" applyBorder="1"/>
    <xf numFmtId="3" fontId="0" fillId="8" borderId="1" xfId="0" applyNumberFormat="1" applyFill="1" applyBorder="1"/>
    <xf numFmtId="0" fontId="47" fillId="0" borderId="6" xfId="0" applyFont="1" applyBorder="1" applyAlignment="1">
      <alignment vertical="center"/>
    </xf>
    <xf numFmtId="0" fontId="47" fillId="0" borderId="0" xfId="0" applyFont="1" applyAlignment="1">
      <alignment vertical="center"/>
    </xf>
    <xf numFmtId="0" fontId="90" fillId="0" borderId="0" xfId="0" applyFont="1" applyAlignment="1" applyProtection="1">
      <alignment vertical="center"/>
      <protection hidden="1"/>
    </xf>
    <xf numFmtId="0" fontId="90" fillId="0" borderId="26" xfId="0" applyFont="1" applyBorder="1" applyAlignment="1" applyProtection="1">
      <alignment vertical="center"/>
      <protection hidden="1"/>
    </xf>
    <xf numFmtId="0" fontId="47" fillId="0" borderId="6" xfId="0" applyFont="1" applyBorder="1" applyAlignment="1">
      <alignment vertical="top"/>
    </xf>
    <xf numFmtId="0" fontId="91" fillId="0" borderId="6" xfId="0" applyFont="1" applyBorder="1" applyAlignment="1">
      <alignment horizontal="right" vertical="top" wrapText="1"/>
    </xf>
    <xf numFmtId="0" fontId="91" fillId="0" borderId="0" xfId="0" applyFont="1" applyAlignment="1">
      <alignment horizontal="center" vertical="top" wrapText="1"/>
    </xf>
    <xf numFmtId="0" fontId="91" fillId="0" borderId="6" xfId="0" applyFont="1" applyBorder="1" applyAlignment="1">
      <alignment horizontal="center" vertical="top" wrapText="1"/>
    </xf>
    <xf numFmtId="0" fontId="91" fillId="0" borderId="26" xfId="0" applyFont="1" applyBorder="1" applyAlignment="1">
      <alignment horizontal="center" vertical="top" wrapText="1"/>
    </xf>
    <xf numFmtId="0" fontId="91" fillId="0" borderId="0" xfId="0" applyFont="1" applyAlignment="1">
      <alignment horizontal="right" vertical="center" wrapText="1"/>
    </xf>
    <xf numFmtId="0" fontId="91" fillId="0" borderId="26" xfId="0" applyFont="1" applyBorder="1" applyAlignment="1">
      <alignment horizontal="right" vertical="center" wrapText="1"/>
    </xf>
    <xf numFmtId="0" fontId="91" fillId="0" borderId="6" xfId="0" applyFont="1" applyBorder="1" applyAlignment="1">
      <alignment vertical="top" wrapText="1"/>
    </xf>
    <xf numFmtId="0" fontId="91" fillId="0" borderId="6" xfId="0" applyFont="1" applyBorder="1" applyAlignment="1">
      <alignment vertical="top"/>
    </xf>
    <xf numFmtId="0" fontId="94" fillId="0" borderId="6" xfId="0" applyFont="1" applyBorder="1" applyAlignment="1">
      <alignment horizontal="center" vertical="center" wrapText="1"/>
    </xf>
    <xf numFmtId="0" fontId="94" fillId="0" borderId="26" xfId="0" applyFont="1" applyBorder="1" applyAlignment="1">
      <alignment horizontal="center" vertical="center" wrapText="1"/>
    </xf>
    <xf numFmtId="0" fontId="0" fillId="0" borderId="0" xfId="0" applyAlignment="1">
      <alignment horizontal="center" vertical="center" wrapText="1"/>
    </xf>
    <xf numFmtId="0" fontId="0" fillId="0" borderId="16" xfId="0" applyBorder="1" applyAlignment="1">
      <alignment horizontal="center" vertical="center" wrapText="1"/>
    </xf>
    <xf numFmtId="0" fontId="0" fillId="0" borderId="12" xfId="0" applyBorder="1" applyAlignment="1">
      <alignment horizontal="center" vertical="center" wrapText="1"/>
    </xf>
    <xf numFmtId="0" fontId="0" fillId="0" borderId="6" xfId="0" applyBorder="1" applyAlignment="1">
      <alignment horizontal="center" vertical="center" wrapText="1"/>
    </xf>
    <xf numFmtId="0" fontId="0" fillId="0" borderId="26" xfId="0" applyBorder="1"/>
    <xf numFmtId="1" fontId="27" fillId="0" borderId="0" xfId="0" applyNumberFormat="1" applyFont="1" applyAlignment="1" applyProtection="1">
      <alignment horizontal="left" vertical="center"/>
      <protection hidden="1"/>
    </xf>
    <xf numFmtId="0" fontId="27" fillId="0" borderId="72" xfId="0" applyFont="1" applyBorder="1" applyProtection="1">
      <protection hidden="1"/>
    </xf>
    <xf numFmtId="0" fontId="27" fillId="0" borderId="73" xfId="0" applyFont="1" applyBorder="1" applyProtection="1">
      <protection hidden="1"/>
    </xf>
    <xf numFmtId="0" fontId="27" fillId="0" borderId="0" xfId="0" applyFont="1" applyAlignment="1" applyProtection="1">
      <alignment horizontal="left" vertical="center"/>
      <protection hidden="1"/>
    </xf>
    <xf numFmtId="0" fontId="27" fillId="0" borderId="0" xfId="0" applyFont="1" applyAlignment="1" applyProtection="1">
      <alignment horizontal="right"/>
      <protection hidden="1"/>
    </xf>
    <xf numFmtId="0" fontId="27" fillId="0" borderId="26" xfId="0" applyFont="1" applyBorder="1" applyProtection="1">
      <protection hidden="1"/>
    </xf>
    <xf numFmtId="14" fontId="27" fillId="0" borderId="0" xfId="0" applyNumberFormat="1" applyFont="1" applyAlignment="1" applyProtection="1">
      <alignment horizontal="left" vertical="center"/>
      <protection hidden="1"/>
    </xf>
    <xf numFmtId="0" fontId="27" fillId="0" borderId="0" xfId="0" applyFont="1" applyAlignment="1" applyProtection="1">
      <alignment vertical="top"/>
      <protection hidden="1"/>
    </xf>
    <xf numFmtId="1" fontId="27" fillId="0" borderId="0" xfId="0" applyNumberFormat="1" applyFont="1" applyProtection="1">
      <protection hidden="1"/>
    </xf>
    <xf numFmtId="0" fontId="0" fillId="0" borderId="16" xfId="0" applyBorder="1"/>
    <xf numFmtId="0" fontId="0" fillId="0" borderId="12" xfId="0" applyBorder="1"/>
    <xf numFmtId="0" fontId="0" fillId="0" borderId="17" xfId="0" applyBorder="1"/>
    <xf numFmtId="0" fontId="12" fillId="0" borderId="2" xfId="0" applyFont="1" applyBorder="1" applyAlignment="1">
      <alignment horizontal="center" vertical="center" wrapText="1"/>
    </xf>
    <xf numFmtId="0" fontId="0" fillId="0" borderId="0" xfId="0" applyAlignment="1">
      <alignment horizontal="center" vertical="center"/>
    </xf>
    <xf numFmtId="41" fontId="0" fillId="0" borderId="0" xfId="0" applyNumberFormat="1"/>
    <xf numFmtId="0" fontId="96" fillId="0" borderId="0" xfId="2" applyFont="1" applyAlignment="1" applyProtection="1">
      <alignment horizontal="center" vertical="center"/>
      <protection hidden="1"/>
    </xf>
    <xf numFmtId="0" fontId="5" fillId="0" borderId="1" xfId="0" applyFont="1" applyBorder="1" applyAlignment="1" applyProtection="1">
      <alignment horizontal="center" vertical="center" wrapText="1"/>
      <protection locked="0"/>
    </xf>
    <xf numFmtId="0" fontId="12" fillId="0" borderId="1" xfId="0" applyFont="1" applyBorder="1" applyAlignment="1">
      <alignment horizontal="center" vertical="center" wrapText="1"/>
    </xf>
    <xf numFmtId="0" fontId="0" fillId="0" borderId="17" xfId="0" applyBorder="1" applyAlignment="1">
      <alignment horizontal="center" vertical="center" wrapText="1"/>
    </xf>
    <xf numFmtId="0" fontId="92" fillId="0" borderId="26" xfId="0" applyFont="1" applyBorder="1" applyAlignment="1">
      <alignment vertical="top" wrapText="1"/>
    </xf>
    <xf numFmtId="41" fontId="97" fillId="0" borderId="1" xfId="0" applyNumberFormat="1" applyFont="1" applyBorder="1" applyAlignment="1" applyProtection="1">
      <alignment vertical="center" shrinkToFit="1"/>
      <protection hidden="1"/>
    </xf>
    <xf numFmtId="41" fontId="0" fillId="0" borderId="1" xfId="0" applyNumberFormat="1" applyBorder="1"/>
    <xf numFmtId="0" fontId="0" fillId="16" borderId="1" xfId="0" applyFill="1" applyBorder="1" applyAlignment="1">
      <alignment horizontal="center" vertical="center"/>
    </xf>
    <xf numFmtId="0" fontId="12" fillId="0" borderId="2" xfId="0" applyFont="1" applyBorder="1" applyAlignment="1">
      <alignment vertical="center" wrapText="1"/>
    </xf>
    <xf numFmtId="0" fontId="12" fillId="0" borderId="1" xfId="0" applyFont="1" applyBorder="1" applyAlignment="1">
      <alignment vertical="center" wrapText="1"/>
    </xf>
    <xf numFmtId="0" fontId="91" fillId="0" borderId="0" xfId="0" applyFont="1" applyAlignment="1">
      <alignment horizontal="right" vertical="top" wrapText="1"/>
    </xf>
    <xf numFmtId="0" fontId="90" fillId="0" borderId="26" xfId="0" applyFont="1" applyBorder="1" applyAlignment="1">
      <alignment vertical="top" shrinkToFit="1"/>
    </xf>
    <xf numFmtId="0" fontId="91" fillId="0" borderId="0" xfId="0" applyFont="1" applyAlignment="1">
      <alignment horizontal="left" vertical="justify" wrapText="1"/>
    </xf>
    <xf numFmtId="0" fontId="0" fillId="0" borderId="0" xfId="0" applyAlignment="1">
      <alignment horizontal="left" vertical="justify"/>
    </xf>
    <xf numFmtId="0" fontId="99" fillId="0" borderId="1" xfId="0" applyFont="1" applyBorder="1" applyAlignment="1">
      <alignment horizontal="center" vertical="center" wrapText="1"/>
    </xf>
    <xf numFmtId="0" fontId="99" fillId="0" borderId="1" xfId="0" applyFont="1" applyBorder="1" applyAlignment="1">
      <alignment vertical="center" wrapText="1"/>
    </xf>
    <xf numFmtId="41" fontId="47" fillId="0" borderId="1" xfId="0" applyNumberFormat="1" applyFont="1" applyBorder="1" applyAlignment="1" applyProtection="1">
      <alignment horizontal="center" vertical="center" shrinkToFit="1"/>
      <protection hidden="1"/>
    </xf>
    <xf numFmtId="0" fontId="0" fillId="0" borderId="0" xfId="0" applyAlignment="1">
      <alignment horizontal="center"/>
    </xf>
    <xf numFmtId="0" fontId="27" fillId="0" borderId="13" xfId="0" applyFont="1" applyBorder="1" applyAlignment="1">
      <alignment horizontal="left" vertical="center"/>
    </xf>
    <xf numFmtId="0" fontId="27" fillId="0" borderId="2" xfId="0" applyFont="1" applyBorder="1" applyAlignment="1">
      <alignment horizontal="left" vertical="center"/>
    </xf>
    <xf numFmtId="0" fontId="18" fillId="0" borderId="1" xfId="0" applyFont="1" applyBorder="1" applyAlignment="1">
      <alignment horizontal="center" vertical="center" wrapText="1"/>
    </xf>
    <xf numFmtId="0" fontId="87" fillId="0" borderId="1" xfId="0" applyFont="1" applyBorder="1" applyAlignment="1">
      <alignment horizontal="center" vertical="center" wrapText="1"/>
    </xf>
    <xf numFmtId="3" fontId="18" fillId="0" borderId="1" xfId="0" applyNumberFormat="1" applyFont="1" applyBorder="1" applyAlignment="1">
      <alignment horizontal="center" vertical="center" wrapText="1"/>
    </xf>
    <xf numFmtId="3" fontId="90" fillId="0" borderId="1" xfId="0" applyNumberFormat="1" applyFont="1" applyBorder="1" applyAlignment="1" applyProtection="1">
      <alignment vertical="center" wrapText="1"/>
      <protection hidden="1"/>
    </xf>
    <xf numFmtId="0" fontId="18" fillId="0" borderId="22" xfId="0" applyFont="1" applyBorder="1" applyAlignment="1">
      <alignment horizontal="center" vertical="center" wrapText="1"/>
    </xf>
    <xf numFmtId="3" fontId="18" fillId="0" borderId="22" xfId="0" applyNumberFormat="1" applyFont="1" applyBorder="1" applyAlignment="1">
      <alignment horizontal="center" vertical="center" wrapText="1"/>
    </xf>
    <xf numFmtId="3" fontId="90" fillId="0" borderId="22" xfId="0" applyNumberFormat="1" applyFont="1" applyBorder="1" applyAlignment="1" applyProtection="1">
      <alignment vertical="center" wrapText="1"/>
      <protection hidden="1"/>
    </xf>
    <xf numFmtId="0" fontId="18" fillId="0" borderId="23" xfId="0" applyFont="1" applyBorder="1" applyAlignment="1">
      <alignment horizontal="center" vertical="center" wrapText="1"/>
    </xf>
    <xf numFmtId="3" fontId="18" fillId="0" borderId="23" xfId="0" applyNumberFormat="1" applyFont="1" applyBorder="1" applyAlignment="1">
      <alignment horizontal="center" vertical="center" wrapText="1"/>
    </xf>
    <xf numFmtId="3" fontId="90" fillId="0" borderId="23" xfId="0" applyNumberFormat="1" applyFont="1" applyBorder="1" applyAlignment="1" applyProtection="1">
      <alignment vertical="center" wrapText="1"/>
      <protection hidden="1"/>
    </xf>
    <xf numFmtId="0" fontId="30" fillId="0" borderId="25" xfId="0" applyFont="1" applyBorder="1" applyAlignment="1" applyProtection="1">
      <alignment horizontal="center" vertical="center"/>
      <protection hidden="1"/>
    </xf>
    <xf numFmtId="1" fontId="67" fillId="0" borderId="0" xfId="0" applyNumberFormat="1" applyFont="1" applyAlignment="1" applyProtection="1">
      <alignment vertical="center"/>
      <protection hidden="1"/>
    </xf>
    <xf numFmtId="0" fontId="35" fillId="0" borderId="0" xfId="0" applyFont="1" applyAlignment="1" applyProtection="1">
      <alignment horizontal="left" vertical="center"/>
      <protection hidden="1"/>
    </xf>
    <xf numFmtId="0" fontId="35" fillId="0" borderId="0" xfId="0" applyFont="1" applyAlignment="1" applyProtection="1">
      <alignment vertical="center"/>
      <protection hidden="1"/>
    </xf>
    <xf numFmtId="0" fontId="101" fillId="8" borderId="1" xfId="0" applyFont="1" applyFill="1" applyBorder="1" applyAlignment="1">
      <alignment vertical="center"/>
    </xf>
    <xf numFmtId="0" fontId="101" fillId="8" borderId="1" xfId="0" applyFont="1" applyFill="1" applyBorder="1" applyAlignment="1">
      <alignment horizontal="center" vertical="center"/>
    </xf>
    <xf numFmtId="0" fontId="0" fillId="11" borderId="2" xfId="0" applyFill="1" applyBorder="1"/>
    <xf numFmtId="0" fontId="0" fillId="11" borderId="5" xfId="0" applyFill="1" applyBorder="1"/>
    <xf numFmtId="0" fontId="101" fillId="11" borderId="3" xfId="0" applyFont="1" applyFill="1" applyBorder="1" applyAlignment="1">
      <alignment horizontal="right" vertical="center"/>
    </xf>
    <xf numFmtId="14" fontId="5" fillId="0" borderId="1" xfId="0" applyNumberFormat="1" applyFont="1" applyBorder="1" applyAlignment="1">
      <alignment horizontal="center"/>
    </xf>
    <xf numFmtId="1" fontId="0" fillId="0" borderId="1" xfId="0" applyNumberFormat="1" applyBorder="1" applyAlignment="1">
      <alignment horizontal="center"/>
    </xf>
    <xf numFmtId="1" fontId="102" fillId="0" borderId="1" xfId="0" applyNumberFormat="1" applyFont="1" applyBorder="1" applyAlignment="1" applyProtection="1">
      <alignment horizontal="center" vertical="center"/>
      <protection locked="0"/>
    </xf>
    <xf numFmtId="0" fontId="85" fillId="0" borderId="1" xfId="0" applyFont="1" applyBorder="1" applyAlignment="1" applyProtection="1">
      <alignment horizontal="left" vertical="center"/>
      <protection hidden="1"/>
    </xf>
    <xf numFmtId="41" fontId="60" fillId="0" borderId="1" xfId="0" applyNumberFormat="1" applyFont="1" applyBorder="1" applyAlignment="1" applyProtection="1">
      <alignment horizontal="center" vertical="center" shrinkToFit="1"/>
      <protection locked="0"/>
    </xf>
    <xf numFmtId="0" fontId="103" fillId="5" borderId="1" xfId="0" applyFont="1" applyFill="1" applyBorder="1" applyAlignment="1" applyProtection="1">
      <alignment horizontal="center" vertical="center" wrapText="1"/>
      <protection hidden="1"/>
    </xf>
    <xf numFmtId="0" fontId="37" fillId="5" borderId="1" xfId="0" applyFont="1" applyFill="1" applyBorder="1" applyAlignment="1" applyProtection="1">
      <alignment horizontal="right"/>
      <protection hidden="1"/>
    </xf>
    <xf numFmtId="0" fontId="37" fillId="5" borderId="1" xfId="0" applyFont="1" applyFill="1" applyBorder="1" applyProtection="1">
      <protection hidden="1"/>
    </xf>
    <xf numFmtId="0" fontId="103" fillId="5" borderId="1" xfId="0" applyFont="1" applyFill="1" applyBorder="1" applyAlignment="1" applyProtection="1">
      <alignment vertical="center" wrapText="1"/>
      <protection hidden="1"/>
    </xf>
    <xf numFmtId="14" fontId="0" fillId="18" borderId="4" xfId="0" applyNumberFormat="1" applyFill="1" applyBorder="1" applyAlignment="1">
      <alignment horizontal="center"/>
    </xf>
    <xf numFmtId="14" fontId="11" fillId="17" borderId="1" xfId="0" applyNumberFormat="1" applyFont="1" applyFill="1" applyBorder="1"/>
    <xf numFmtId="173" fontId="11" fillId="17" borderId="1" xfId="0" applyNumberFormat="1" applyFont="1" applyFill="1" applyBorder="1"/>
    <xf numFmtId="0" fontId="0" fillId="0" borderId="4" xfId="0" applyBorder="1"/>
    <xf numFmtId="1" fontId="0" fillId="9" borderId="1" xfId="0" applyNumberFormat="1" applyFill="1" applyBorder="1" applyAlignment="1" applyProtection="1">
      <alignment horizontal="center" vertical="center"/>
      <protection hidden="1"/>
    </xf>
    <xf numFmtId="171" fontId="52" fillId="0" borderId="39" xfId="6" applyNumberFormat="1" applyFont="1" applyFill="1" applyBorder="1" applyAlignment="1" applyProtection="1">
      <alignment vertical="center"/>
      <protection hidden="1"/>
    </xf>
    <xf numFmtId="171" fontId="52" fillId="0" borderId="41" xfId="6" applyNumberFormat="1" applyFont="1" applyFill="1" applyBorder="1" applyAlignment="1" applyProtection="1">
      <alignment vertical="center"/>
      <protection hidden="1"/>
    </xf>
    <xf numFmtId="41" fontId="86" fillId="18" borderId="1" xfId="0" applyNumberFormat="1" applyFont="1" applyFill="1" applyBorder="1" applyAlignment="1" applyProtection="1">
      <alignment horizontal="center" vertical="center" shrinkToFit="1"/>
      <protection hidden="1"/>
    </xf>
    <xf numFmtId="41" fontId="65" fillId="18" borderId="1" xfId="0" applyNumberFormat="1" applyFont="1" applyFill="1" applyBorder="1" applyAlignment="1" applyProtection="1">
      <alignment horizontal="center" vertical="center"/>
      <protection hidden="1"/>
    </xf>
    <xf numFmtId="0" fontId="13" fillId="0" borderId="1" xfId="2" applyFont="1" applyBorder="1" applyAlignment="1" applyProtection="1">
      <alignment horizontal="center" vertical="center" shrinkToFit="1"/>
      <protection locked="0"/>
    </xf>
    <xf numFmtId="0" fontId="91" fillId="0" borderId="0" xfId="0" applyFont="1" applyAlignment="1">
      <alignment vertical="top" wrapText="1"/>
    </xf>
    <xf numFmtId="1" fontId="91" fillId="0" borderId="0" xfId="0" applyNumberFormat="1" applyFont="1" applyAlignment="1">
      <alignment horizontal="left" vertical="top"/>
    </xf>
    <xf numFmtId="0" fontId="94" fillId="0" borderId="0" xfId="0" applyFont="1" applyAlignment="1">
      <alignment horizontal="center" vertical="center" wrapText="1"/>
    </xf>
    <xf numFmtId="41" fontId="90" fillId="0" borderId="26" xfId="0" applyNumberFormat="1" applyFont="1" applyBorder="1" applyAlignment="1" applyProtection="1">
      <alignment vertical="center" shrinkToFit="1"/>
      <protection hidden="1"/>
    </xf>
    <xf numFmtId="0" fontId="19" fillId="0" borderId="1" xfId="0" applyFont="1" applyBorder="1" applyAlignment="1" applyProtection="1">
      <alignment horizontal="center" vertical="center" shrinkToFit="1"/>
      <protection locked="0"/>
    </xf>
    <xf numFmtId="0" fontId="105" fillId="0" borderId="5" xfId="0" applyFont="1" applyBorder="1" applyAlignment="1" applyProtection="1">
      <alignment vertical="center"/>
      <protection hidden="1"/>
    </xf>
    <xf numFmtId="3" fontId="0" fillId="0" borderId="1" xfId="0" applyNumberFormat="1" applyBorder="1" applyAlignment="1" applyProtection="1">
      <alignment horizontal="center" vertical="center" shrinkToFit="1"/>
      <protection locked="0"/>
    </xf>
    <xf numFmtId="41" fontId="60" fillId="0" borderId="1" xfId="0" applyNumberFormat="1" applyFont="1" applyBorder="1" applyAlignment="1" applyProtection="1">
      <alignment vertical="center"/>
      <protection hidden="1"/>
    </xf>
    <xf numFmtId="1" fontId="0" fillId="0" borderId="1" xfId="0" applyNumberFormat="1" applyBorder="1" applyAlignment="1" applyProtection="1">
      <alignment horizontal="center" vertical="center" shrinkToFit="1"/>
      <protection locked="0"/>
    </xf>
    <xf numFmtId="0" fontId="15" fillId="0" borderId="0" xfId="5" applyBorder="1"/>
    <xf numFmtId="164" fontId="0" fillId="0" borderId="1" xfId="0" applyNumberFormat="1" applyBorder="1" applyAlignment="1" applyProtection="1">
      <alignment horizontal="center" vertical="center" shrinkToFit="1"/>
      <protection locked="0"/>
    </xf>
    <xf numFmtId="0" fontId="0" fillId="5" borderId="1" xfId="0" applyFill="1" applyBorder="1" applyAlignment="1">
      <alignment horizontal="left" vertical="center"/>
    </xf>
    <xf numFmtId="14" fontId="11" fillId="0" borderId="1" xfId="0" applyNumberFormat="1" applyFont="1" applyBorder="1" applyAlignment="1">
      <alignment horizontal="center" vertical="center"/>
    </xf>
    <xf numFmtId="14" fontId="11" fillId="0" borderId="1" xfId="0" applyNumberFormat="1" applyFont="1" applyBorder="1" applyAlignment="1">
      <alignment horizontal="center"/>
    </xf>
    <xf numFmtId="1" fontId="0" fillId="0" borderId="1" xfId="0" applyNumberFormat="1" applyBorder="1"/>
    <xf numFmtId="0" fontId="0" fillId="0" borderId="1" xfId="0" applyBorder="1" applyAlignment="1">
      <alignment horizontal="center" vertical="center" wrapText="1"/>
    </xf>
    <xf numFmtId="14" fontId="11" fillId="0" borderId="0" xfId="0" applyNumberFormat="1" applyFont="1" applyAlignment="1">
      <alignment horizontal="center" vertical="center"/>
    </xf>
    <xf numFmtId="165" fontId="108" fillId="0" borderId="0" xfId="1" applyNumberFormat="1" applyFont="1" applyFill="1" applyBorder="1" applyAlignment="1" applyProtection="1">
      <alignment horizontal="center" vertical="center"/>
      <protection hidden="1"/>
    </xf>
    <xf numFmtId="0" fontId="5" fillId="0" borderId="0" xfId="0" applyFont="1"/>
    <xf numFmtId="0" fontId="108" fillId="0" borderId="0" xfId="2" applyFont="1" applyAlignment="1" applyProtection="1">
      <alignment horizontal="center" vertical="center"/>
      <protection hidden="1"/>
    </xf>
    <xf numFmtId="0" fontId="0" fillId="0" borderId="26" xfId="0" applyBorder="1" applyAlignment="1">
      <alignment horizontal="center" vertical="center"/>
    </xf>
    <xf numFmtId="176" fontId="0" fillId="0" borderId="0" xfId="0" applyNumberFormat="1"/>
    <xf numFmtId="14" fontId="5" fillId="0" borderId="0" xfId="0" applyNumberFormat="1" applyFont="1"/>
    <xf numFmtId="0" fontId="0" fillId="19" borderId="0" xfId="0" applyFill="1"/>
    <xf numFmtId="14" fontId="9" fillId="0" borderId="0" xfId="0" applyNumberFormat="1" applyFont="1"/>
    <xf numFmtId="14" fontId="0" fillId="0" borderId="1" xfId="0" applyNumberFormat="1" applyBorder="1" applyAlignment="1">
      <alignment horizontal="center" vertical="center"/>
    </xf>
    <xf numFmtId="0" fontId="0" fillId="5" borderId="1" xfId="0" applyFill="1" applyBorder="1" applyAlignment="1">
      <alignment vertical="center"/>
    </xf>
    <xf numFmtId="164" fontId="0" fillId="5" borderId="1" xfId="0" applyNumberFormat="1" applyFill="1" applyBorder="1" applyAlignment="1">
      <alignment horizontal="left" vertical="center"/>
    </xf>
    <xf numFmtId="0" fontId="0" fillId="18" borderId="1" xfId="0" applyFill="1" applyBorder="1" applyAlignment="1">
      <alignment horizontal="center" vertical="center"/>
    </xf>
    <xf numFmtId="2" fontId="0" fillId="0" borderId="1" xfId="0" applyNumberFormat="1" applyBorder="1" applyAlignment="1">
      <alignment horizontal="center" vertical="center"/>
    </xf>
    <xf numFmtId="2" fontId="0" fillId="0" borderId="1" xfId="0" applyNumberFormat="1" applyBorder="1" applyAlignment="1">
      <alignment vertical="center"/>
    </xf>
    <xf numFmtId="2" fontId="0" fillId="0" borderId="1" xfId="0" applyNumberFormat="1" applyBorder="1" applyAlignment="1">
      <alignment vertical="center" wrapText="1"/>
    </xf>
    <xf numFmtId="1" fontId="0" fillId="0" borderId="1" xfId="0" applyNumberFormat="1" applyBorder="1" applyProtection="1">
      <protection locked="0"/>
    </xf>
    <xf numFmtId="1" fontId="9" fillId="0" borderId="1" xfId="0" applyNumberFormat="1" applyFont="1" applyBorder="1" applyAlignment="1" applyProtection="1">
      <alignment horizontal="center" vertical="center" wrapText="1"/>
      <protection locked="0"/>
    </xf>
    <xf numFmtId="0" fontId="0" fillId="0" borderId="1" xfId="0" applyBorder="1" applyAlignment="1">
      <alignment vertical="center"/>
    </xf>
    <xf numFmtId="0" fontId="16" fillId="0" borderId="2" xfId="0" applyFont="1" applyBorder="1" applyAlignment="1" applyProtection="1">
      <alignment vertical="center" shrinkToFit="1"/>
      <protection locked="0" hidden="1"/>
    </xf>
    <xf numFmtId="0" fontId="87" fillId="0" borderId="0" xfId="0" applyFont="1" applyAlignment="1">
      <alignment horizontal="left" vertical="center"/>
    </xf>
    <xf numFmtId="0" fontId="84" fillId="0" borderId="0" xfId="0" applyFont="1" applyAlignment="1" applyProtection="1">
      <alignment horizontal="center" vertical="center" wrapText="1"/>
      <protection hidden="1"/>
    </xf>
    <xf numFmtId="0" fontId="37" fillId="0" borderId="0" xfId="0" applyFont="1" applyAlignment="1" applyProtection="1">
      <alignment horizontal="center" vertical="center" wrapText="1"/>
      <protection locked="0"/>
    </xf>
    <xf numFmtId="0" fontId="84" fillId="0" borderId="0" xfId="0" applyFont="1" applyAlignment="1" applyProtection="1">
      <alignment horizontal="center" vertical="center" wrapText="1"/>
      <protection locked="0"/>
    </xf>
    <xf numFmtId="0" fontId="0" fillId="0" borderId="0" xfId="0" applyAlignment="1" applyProtection="1">
      <alignment horizontal="center" vertical="center"/>
      <protection hidden="1"/>
    </xf>
    <xf numFmtId="1" fontId="0" fillId="0" borderId="0" xfId="0" applyNumberFormat="1" applyAlignment="1" applyProtection="1">
      <alignment horizontal="center" vertical="center" shrinkToFit="1"/>
      <protection hidden="1"/>
    </xf>
    <xf numFmtId="14" fontId="0" fillId="11" borderId="23" xfId="0" applyNumberFormat="1" applyFill="1" applyBorder="1"/>
    <xf numFmtId="14" fontId="0" fillId="9" borderId="0" xfId="0" applyNumberFormat="1" applyFill="1"/>
    <xf numFmtId="14" fontId="0" fillId="4" borderId="0" xfId="0" applyNumberFormat="1" applyFill="1"/>
    <xf numFmtId="0" fontId="0" fillId="0" borderId="0" xfId="0" applyAlignment="1">
      <alignment horizontal="left"/>
    </xf>
    <xf numFmtId="178" fontId="0" fillId="0" borderId="1" xfId="0" applyNumberFormat="1" applyBorder="1"/>
    <xf numFmtId="0" fontId="0" fillId="9" borderId="0" xfId="0" applyFill="1" applyAlignment="1">
      <alignment horizontal="center" vertical="center"/>
    </xf>
    <xf numFmtId="0" fontId="0" fillId="0" borderId="0" xfId="0" applyAlignment="1" applyProtection="1">
      <alignment horizontal="center" vertical="center" shrinkToFit="1"/>
      <protection hidden="1"/>
    </xf>
    <xf numFmtId="164" fontId="0" fillId="0" borderId="1" xfId="0" applyNumberFormat="1" applyBorder="1"/>
    <xf numFmtId="0" fontId="0" fillId="0" borderId="2" xfId="0" applyBorder="1" applyAlignment="1">
      <alignment horizontal="center" vertical="center"/>
    </xf>
    <xf numFmtId="14" fontId="0" fillId="0" borderId="7" xfId="0" applyNumberFormat="1" applyBorder="1"/>
    <xf numFmtId="14" fontId="0" fillId="0" borderId="8" xfId="0" applyNumberFormat="1" applyBorder="1"/>
    <xf numFmtId="0" fontId="0" fillId="0" borderId="24" xfId="0" applyBorder="1"/>
    <xf numFmtId="0" fontId="0" fillId="0" borderId="9" xfId="0" applyBorder="1"/>
    <xf numFmtId="0" fontId="0" fillId="0" borderId="25" xfId="0" applyBorder="1"/>
    <xf numFmtId="0" fontId="0" fillId="0" borderId="75" xfId="0" applyBorder="1"/>
    <xf numFmtId="0" fontId="0" fillId="0" borderId="10" xfId="0" applyBorder="1"/>
    <xf numFmtId="0" fontId="0" fillId="0" borderId="11" xfId="0" applyBorder="1"/>
    <xf numFmtId="0" fontId="0" fillId="9" borderId="27" xfId="0" applyFill="1" applyBorder="1"/>
    <xf numFmtId="1" fontId="0" fillId="0" borderId="24" xfId="0" applyNumberFormat="1" applyBorder="1"/>
    <xf numFmtId="2" fontId="0" fillId="0" borderId="1" xfId="0" applyNumberFormat="1" applyBorder="1"/>
    <xf numFmtId="14" fontId="0" fillId="0" borderId="25" xfId="0" applyNumberFormat="1" applyBorder="1"/>
    <xf numFmtId="2" fontId="0" fillId="0" borderId="25" xfId="0" applyNumberFormat="1" applyBorder="1"/>
    <xf numFmtId="14" fontId="0" fillId="16" borderId="1" xfId="0" applyNumberFormat="1" applyFill="1" applyBorder="1" applyAlignment="1">
      <alignment horizontal="center" vertical="center"/>
    </xf>
    <xf numFmtId="0" fontId="86" fillId="0" borderId="0" xfId="0" applyFont="1" applyProtection="1">
      <protection hidden="1"/>
    </xf>
    <xf numFmtId="0" fontId="5" fillId="9" borderId="2" xfId="0" applyFont="1" applyFill="1" applyBorder="1" applyAlignment="1">
      <alignment horizontal="left" vertical="center" wrapText="1"/>
    </xf>
    <xf numFmtId="14" fontId="9" fillId="0" borderId="1" xfId="0" applyNumberFormat="1" applyFont="1" applyBorder="1" applyAlignment="1">
      <alignment horizontal="center" vertical="center"/>
    </xf>
    <xf numFmtId="0" fontId="0" fillId="0" borderId="0" xfId="0" applyAlignment="1" applyProtection="1">
      <alignment horizontal="center" vertical="center" wrapText="1"/>
      <protection hidden="1"/>
    </xf>
    <xf numFmtId="14" fontId="0" fillId="0" borderId="1" xfId="0" applyNumberFormat="1" applyBorder="1" applyAlignment="1" applyProtection="1">
      <alignment horizontal="center" vertical="center" shrinkToFit="1"/>
      <protection hidden="1"/>
    </xf>
    <xf numFmtId="41" fontId="0" fillId="0" borderId="1" xfId="0" applyNumberFormat="1" applyBorder="1" applyAlignment="1" applyProtection="1">
      <alignment horizontal="center" vertical="center" shrinkToFit="1"/>
      <protection hidden="1"/>
    </xf>
    <xf numFmtId="175" fontId="0" fillId="0" borderId="1" xfId="0" applyNumberFormat="1" applyBorder="1" applyAlignment="1" applyProtection="1">
      <alignment horizontal="center" vertical="center" shrinkToFit="1"/>
      <protection hidden="1"/>
    </xf>
    <xf numFmtId="43" fontId="0" fillId="0" borderId="1" xfId="0" applyNumberFormat="1" applyBorder="1" applyAlignment="1" applyProtection="1">
      <alignment horizontal="center" vertical="center" shrinkToFit="1"/>
      <protection hidden="1"/>
    </xf>
    <xf numFmtId="0" fontId="16" fillId="0" borderId="5" xfId="0" applyFont="1" applyBorder="1" applyAlignment="1" applyProtection="1">
      <alignment vertical="center" shrinkToFit="1"/>
      <protection hidden="1"/>
    </xf>
    <xf numFmtId="0" fontId="16" fillId="0" borderId="3" xfId="0" applyFont="1" applyBorder="1" applyAlignment="1" applyProtection="1">
      <alignment vertical="center" shrinkToFit="1"/>
      <protection hidden="1"/>
    </xf>
    <xf numFmtId="1" fontId="16" fillId="0" borderId="1" xfId="0" applyNumberFormat="1" applyFont="1" applyBorder="1" applyAlignment="1" applyProtection="1">
      <alignment horizontal="center" vertical="center" shrinkToFit="1"/>
      <protection hidden="1"/>
    </xf>
    <xf numFmtId="0" fontId="0" fillId="0" borderId="1" xfId="0" applyBorder="1" applyAlignment="1" applyProtection="1">
      <alignment horizontal="center" vertical="center" shrinkToFit="1"/>
      <protection hidden="1"/>
    </xf>
    <xf numFmtId="1" fontId="62" fillId="9" borderId="65" xfId="0" applyNumberFormat="1" applyFont="1" applyFill="1" applyBorder="1"/>
    <xf numFmtId="0" fontId="113" fillId="0" borderId="0" xfId="0" applyFont="1" applyAlignment="1">
      <alignment vertical="center"/>
    </xf>
    <xf numFmtId="0" fontId="59" fillId="3" borderId="22" xfId="0" applyFont="1" applyFill="1" applyBorder="1" applyAlignment="1" applyProtection="1">
      <alignment vertical="center" wrapText="1"/>
      <protection hidden="1"/>
    </xf>
    <xf numFmtId="0" fontId="60" fillId="3" borderId="23" xfId="0" applyFont="1" applyFill="1" applyBorder="1" applyAlignment="1" applyProtection="1">
      <alignment horizontal="center" vertical="center"/>
      <protection locked="0"/>
    </xf>
    <xf numFmtId="0" fontId="66" fillId="0" borderId="1" xfId="0" applyFont="1" applyBorder="1" applyAlignment="1" applyProtection="1">
      <alignment horizontal="center" vertical="center" wrapText="1"/>
      <protection locked="0"/>
    </xf>
    <xf numFmtId="0" fontId="66" fillId="0" borderId="1" xfId="0" applyFont="1" applyBorder="1" applyAlignment="1" applyProtection="1">
      <alignment horizontal="center" vertical="center" textRotation="90"/>
      <protection locked="0"/>
    </xf>
    <xf numFmtId="0" fontId="66" fillId="0" borderId="1" xfId="0" applyFont="1" applyBorder="1" applyAlignment="1" applyProtection="1">
      <alignment horizontal="center" vertical="center" textRotation="90" wrapText="1"/>
      <protection locked="0"/>
    </xf>
    <xf numFmtId="0" fontId="86" fillId="0" borderId="0" xfId="0" applyFont="1"/>
    <xf numFmtId="164" fontId="66" fillId="0" borderId="1" xfId="0" applyNumberFormat="1" applyFont="1" applyBorder="1" applyAlignment="1" applyProtection="1">
      <alignment vertical="center" textRotation="90" wrapText="1"/>
      <protection locked="0"/>
    </xf>
    <xf numFmtId="0" fontId="66" fillId="0" borderId="1" xfId="0" applyFont="1" applyBorder="1" applyAlignment="1" applyProtection="1">
      <alignment vertical="center" textRotation="90" wrapText="1"/>
      <protection locked="0"/>
    </xf>
    <xf numFmtId="0" fontId="9" fillId="11" borderId="1" xfId="0" applyFont="1" applyFill="1" applyBorder="1" applyAlignment="1" applyProtection="1">
      <alignment horizontal="center" vertical="center" shrinkToFit="1"/>
      <protection hidden="1"/>
    </xf>
    <xf numFmtId="0" fontId="9" fillId="11" borderId="1" xfId="0" applyFont="1" applyFill="1" applyBorder="1" applyAlignment="1" applyProtection="1">
      <alignment vertical="center" shrinkToFit="1"/>
      <protection hidden="1"/>
    </xf>
    <xf numFmtId="0" fontId="62" fillId="0" borderId="1" xfId="0" applyFont="1" applyBorder="1"/>
    <xf numFmtId="165" fontId="0" fillId="0" borderId="0" xfId="0" applyNumberFormat="1"/>
    <xf numFmtId="0" fontId="59" fillId="3" borderId="23" xfId="0" applyFont="1" applyFill="1" applyBorder="1" applyAlignment="1" applyProtection="1">
      <alignment horizontal="center" vertical="center" wrapText="1"/>
      <protection locked="0"/>
    </xf>
    <xf numFmtId="0" fontId="84" fillId="0" borderId="23" xfId="0" applyFont="1" applyBorder="1" applyAlignment="1" applyProtection="1">
      <alignment horizontal="center" vertical="center" wrapText="1"/>
      <protection locked="0"/>
    </xf>
    <xf numFmtId="0" fontId="0" fillId="0" borderId="0" xfId="0" applyProtection="1">
      <protection locked="0"/>
    </xf>
    <xf numFmtId="0" fontId="60" fillId="3" borderId="22" xfId="0" applyFont="1" applyFill="1" applyBorder="1" applyAlignment="1" applyProtection="1">
      <alignment horizontal="center" vertical="center"/>
      <protection hidden="1"/>
    </xf>
    <xf numFmtId="0" fontId="0" fillId="7" borderId="1" xfId="0" applyFill="1" applyBorder="1" applyAlignment="1">
      <alignment horizontal="left" vertical="center"/>
    </xf>
    <xf numFmtId="0" fontId="66" fillId="0" borderId="1" xfId="0" applyFont="1" applyBorder="1" applyAlignment="1" applyProtection="1">
      <alignment horizontal="center" vertical="center"/>
      <protection hidden="1"/>
    </xf>
    <xf numFmtId="0" fontId="114" fillId="0" borderId="1" xfId="0" applyFont="1" applyBorder="1" applyAlignment="1" applyProtection="1">
      <alignment horizontal="center" vertical="center" wrapText="1"/>
      <protection hidden="1"/>
    </xf>
    <xf numFmtId="0" fontId="66" fillId="0" borderId="1" xfId="0" applyFont="1" applyBorder="1" applyAlignment="1" applyProtection="1">
      <alignment horizontal="center" vertical="center" wrapText="1"/>
      <protection hidden="1"/>
    </xf>
    <xf numFmtId="1" fontId="0" fillId="0" borderId="0" xfId="0" applyNumberFormat="1" applyProtection="1">
      <protection locked="0" hidden="1"/>
    </xf>
    <xf numFmtId="0" fontId="0" fillId="16" borderId="1" xfId="0" applyFill="1" applyBorder="1"/>
    <xf numFmtId="0" fontId="0" fillId="16" borderId="0" xfId="0" applyFill="1"/>
    <xf numFmtId="173" fontId="11" fillId="0" borderId="6" xfId="0" applyNumberFormat="1" applyFont="1" applyBorder="1"/>
    <xf numFmtId="14" fontId="0" fillId="0" borderId="26" xfId="0" applyNumberFormat="1" applyBorder="1"/>
    <xf numFmtId="0" fontId="0" fillId="19" borderId="1" xfId="0" applyFill="1" applyBorder="1" applyAlignment="1">
      <alignment vertical="center"/>
    </xf>
    <xf numFmtId="0" fontId="0" fillId="0" borderId="79" xfId="0" applyBorder="1" applyAlignment="1" applyProtection="1">
      <alignment horizontal="center" vertical="center" shrinkToFit="1"/>
      <protection locked="0"/>
    </xf>
    <xf numFmtId="9" fontId="0" fillId="9" borderId="0" xfId="0" applyNumberFormat="1" applyFill="1"/>
    <xf numFmtId="0" fontId="0" fillId="15" borderId="1" xfId="0" applyFill="1" applyBorder="1" applyAlignment="1">
      <alignment horizontal="center" vertical="center"/>
    </xf>
    <xf numFmtId="0" fontId="0" fillId="15" borderId="1" xfId="0" applyFill="1" applyBorder="1" applyAlignment="1">
      <alignment vertical="center"/>
    </xf>
    <xf numFmtId="14" fontId="0" fillId="0" borderId="1" xfId="0" applyNumberFormat="1" applyBorder="1" applyAlignment="1" applyProtection="1">
      <alignment vertical="center" shrinkToFit="1"/>
      <protection hidden="1"/>
    </xf>
    <xf numFmtId="0" fontId="0" fillId="0" borderId="1" xfId="0" applyBorder="1" applyAlignment="1" applyProtection="1">
      <alignment vertical="center" shrinkToFit="1"/>
      <protection hidden="1"/>
    </xf>
    <xf numFmtId="0" fontId="0" fillId="12" borderId="23" xfId="0" applyFill="1" applyBorder="1"/>
    <xf numFmtId="0" fontId="0" fillId="12" borderId="1" xfId="0" applyFill="1" applyBorder="1"/>
    <xf numFmtId="0" fontId="68" fillId="7" borderId="1" xfId="0" applyFont="1" applyFill="1" applyBorder="1" applyAlignment="1">
      <alignment horizontal="justify" vertical="top" wrapText="1"/>
    </xf>
    <xf numFmtId="0" fontId="0" fillId="12" borderId="0" xfId="0" applyFill="1" applyProtection="1">
      <protection hidden="1"/>
    </xf>
    <xf numFmtId="41" fontId="86" fillId="22" borderId="1" xfId="0" applyNumberFormat="1" applyFont="1" applyFill="1" applyBorder="1" applyAlignment="1" applyProtection="1">
      <alignment vertical="center"/>
      <protection hidden="1"/>
    </xf>
    <xf numFmtId="0" fontId="0" fillId="0" borderId="1" xfId="0" applyBorder="1" applyAlignment="1" applyProtection="1">
      <alignment vertical="center"/>
      <protection hidden="1"/>
    </xf>
    <xf numFmtId="0" fontId="0" fillId="0" borderId="1" xfId="0" applyBorder="1" applyAlignment="1" applyProtection="1">
      <alignment horizontal="left" vertical="center"/>
      <protection hidden="1"/>
    </xf>
    <xf numFmtId="0" fontId="0" fillId="23" borderId="1" xfId="0" applyFill="1" applyBorder="1" applyAlignment="1" applyProtection="1">
      <alignment horizontal="center" vertical="center"/>
      <protection hidden="1"/>
    </xf>
    <xf numFmtId="0" fontId="0" fillId="0" borderId="4" xfId="0" applyBorder="1" applyAlignment="1" applyProtection="1">
      <alignment vertical="center"/>
      <protection hidden="1"/>
    </xf>
    <xf numFmtId="0" fontId="0" fillId="23" borderId="1" xfId="0" applyFill="1" applyBorder="1" applyAlignment="1" applyProtection="1">
      <alignment vertical="center"/>
      <protection hidden="1"/>
    </xf>
    <xf numFmtId="0" fontId="0" fillId="9" borderId="0" xfId="0" applyFill="1" applyAlignment="1">
      <alignment horizontal="right"/>
    </xf>
    <xf numFmtId="0" fontId="0" fillId="9" borderId="0" xfId="0" applyFill="1" applyAlignment="1">
      <alignment vertical="center"/>
    </xf>
    <xf numFmtId="0" fontId="34" fillId="7" borderId="22" xfId="0" applyFont="1" applyFill="1" applyBorder="1" applyAlignment="1" applyProtection="1">
      <alignment vertical="center"/>
      <protection hidden="1"/>
    </xf>
    <xf numFmtId="0" fontId="34" fillId="7" borderId="4" xfId="0" applyFont="1" applyFill="1" applyBorder="1" applyAlignment="1" applyProtection="1">
      <alignment vertical="center"/>
      <protection hidden="1"/>
    </xf>
    <xf numFmtId="0" fontId="34" fillId="7" borderId="23" xfId="0" applyFont="1" applyFill="1" applyBorder="1" applyAlignment="1" applyProtection="1">
      <alignment vertical="center"/>
      <protection hidden="1"/>
    </xf>
    <xf numFmtId="0" fontId="0" fillId="0" borderId="84" xfId="0" applyBorder="1"/>
    <xf numFmtId="0" fontId="0" fillId="0" borderId="85" xfId="0" applyBorder="1"/>
    <xf numFmtId="168" fontId="56" fillId="0" borderId="40" xfId="6" applyNumberFormat="1" applyFont="1" applyFill="1" applyBorder="1" applyAlignment="1" applyProtection="1">
      <alignment horizontal="right" vertical="center" shrinkToFit="1"/>
      <protection hidden="1"/>
    </xf>
    <xf numFmtId="168" fontId="52" fillId="0" borderId="40" xfId="6" applyNumberFormat="1" applyFont="1" applyFill="1" applyBorder="1" applyAlignment="1" applyProtection="1">
      <alignment horizontal="right" vertical="center" shrinkToFit="1"/>
      <protection hidden="1"/>
    </xf>
    <xf numFmtId="168" fontId="52" fillId="0" borderId="40" xfId="6" applyNumberFormat="1" applyFont="1" applyFill="1" applyBorder="1" applyAlignment="1" applyProtection="1">
      <alignment vertical="center" shrinkToFit="1"/>
      <protection hidden="1"/>
    </xf>
    <xf numFmtId="9" fontId="11" fillId="0" borderId="1" xfId="0" applyNumberFormat="1" applyFont="1" applyBorder="1" applyAlignment="1">
      <alignment vertical="center" wrapText="1"/>
    </xf>
    <xf numFmtId="176" fontId="0" fillId="0" borderId="1" xfId="0" applyNumberFormat="1" applyBorder="1" applyAlignment="1">
      <alignment horizontal="center" vertical="center"/>
    </xf>
    <xf numFmtId="176" fontId="0" fillId="0" borderId="1" xfId="0" applyNumberFormat="1" applyBorder="1" applyAlignment="1">
      <alignment vertical="center"/>
    </xf>
    <xf numFmtId="0" fontId="0" fillId="0" borderId="0" xfId="0" applyAlignment="1">
      <alignment horizontal="right" vertical="center"/>
    </xf>
    <xf numFmtId="0" fontId="117" fillId="0" borderId="0" xfId="0" applyFont="1" applyAlignment="1" applyProtection="1">
      <alignment horizontal="center" vertical="center"/>
      <protection hidden="1"/>
    </xf>
    <xf numFmtId="1" fontId="0" fillId="0" borderId="22" xfId="0" applyNumberFormat="1" applyBorder="1" applyAlignment="1" applyProtection="1">
      <alignment horizontal="center" vertical="center"/>
      <protection locked="0"/>
    </xf>
    <xf numFmtId="0" fontId="0" fillId="0" borderId="1" xfId="0" applyBorder="1" applyAlignment="1" applyProtection="1">
      <alignment horizontal="center" vertical="center" shrinkToFit="1"/>
      <protection locked="0"/>
    </xf>
    <xf numFmtId="0" fontId="19" fillId="0" borderId="1" xfId="2" applyFont="1" applyBorder="1" applyAlignment="1" applyProtection="1">
      <alignment horizontal="center" vertical="center" shrinkToFit="1"/>
      <protection locked="0"/>
    </xf>
    <xf numFmtId="177" fontId="0" fillId="0" borderId="15" xfId="0" applyNumberFormat="1" applyBorder="1" applyAlignment="1" applyProtection="1">
      <alignment horizontal="center" vertical="center"/>
      <protection locked="0"/>
    </xf>
    <xf numFmtId="1" fontId="0" fillId="0" borderId="13" xfId="0" applyNumberFormat="1" applyBorder="1" applyAlignment="1" applyProtection="1">
      <alignment horizontal="center" vertical="center"/>
      <protection locked="0"/>
    </xf>
    <xf numFmtId="41" fontId="0" fillId="0" borderId="2" xfId="0" applyNumberFormat="1" applyBorder="1" applyAlignment="1" applyProtection="1">
      <alignment vertical="center" shrinkToFit="1"/>
      <protection locked="0"/>
    </xf>
    <xf numFmtId="3" fontId="0" fillId="0" borderId="2" xfId="0" applyNumberFormat="1" applyBorder="1" applyAlignment="1" applyProtection="1">
      <alignment vertical="center" shrinkToFit="1"/>
      <protection locked="0"/>
    </xf>
    <xf numFmtId="3" fontId="63" fillId="0" borderId="2" xfId="0" applyNumberFormat="1" applyFont="1" applyBorder="1" applyAlignment="1" applyProtection="1">
      <alignment vertical="center" shrinkToFit="1"/>
      <protection locked="0"/>
    </xf>
    <xf numFmtId="3" fontId="0" fillId="0" borderId="13" xfId="0" applyNumberFormat="1" applyBorder="1" applyAlignment="1" applyProtection="1">
      <alignment vertical="center" shrinkToFit="1"/>
      <protection locked="0"/>
    </xf>
    <xf numFmtId="164" fontId="0" fillId="0" borderId="2" xfId="0" applyNumberFormat="1" applyBorder="1" applyAlignment="1" applyProtection="1">
      <alignment horizontal="center" vertical="center" shrinkToFit="1"/>
      <protection locked="0"/>
    </xf>
    <xf numFmtId="41" fontId="0" fillId="0" borderId="23" xfId="0" applyNumberFormat="1" applyBorder="1" applyAlignment="1" applyProtection="1">
      <alignment horizontal="center" vertical="center" shrinkToFit="1"/>
      <protection locked="0"/>
    </xf>
    <xf numFmtId="0" fontId="0" fillId="0" borderId="23" xfId="0" applyBorder="1" applyAlignment="1" applyProtection="1">
      <alignment horizontal="center" vertical="center" shrinkToFit="1"/>
      <protection locked="0"/>
    </xf>
    <xf numFmtId="0" fontId="112" fillId="20" borderId="76" xfId="0" applyFont="1" applyFill="1" applyBorder="1" applyAlignment="1" applyProtection="1">
      <alignment vertical="center" shrinkToFit="1"/>
      <protection hidden="1"/>
    </xf>
    <xf numFmtId="0" fontId="83" fillId="20" borderId="77" xfId="0" applyFont="1" applyFill="1" applyBorder="1" applyAlignment="1">
      <alignment vertical="center"/>
    </xf>
    <xf numFmtId="164" fontId="0" fillId="0" borderId="13" xfId="0" applyNumberFormat="1" applyBorder="1" applyAlignment="1" applyProtection="1">
      <alignment horizontal="center" vertical="center" shrinkToFit="1"/>
      <protection locked="0"/>
    </xf>
    <xf numFmtId="0" fontId="9" fillId="9" borderId="1" xfId="0" applyFont="1" applyFill="1" applyBorder="1" applyAlignment="1">
      <alignment horizontal="left" vertical="center"/>
    </xf>
    <xf numFmtId="1" fontId="0" fillId="0" borderId="1" xfId="0" applyNumberFormat="1" applyBorder="1" applyAlignment="1">
      <alignment horizontal="center" vertical="center"/>
    </xf>
    <xf numFmtId="0" fontId="62" fillId="5" borderId="1" xfId="0" applyFont="1" applyFill="1" applyBorder="1" applyAlignment="1">
      <alignment horizontal="center" vertical="center"/>
    </xf>
    <xf numFmtId="0" fontId="0" fillId="0" borderId="3" xfId="0" applyBorder="1"/>
    <xf numFmtId="0" fontId="0" fillId="9" borderId="1" xfId="0" applyFill="1" applyBorder="1" applyAlignment="1" applyProtection="1">
      <alignment vertical="center"/>
      <protection hidden="1"/>
    </xf>
    <xf numFmtId="0" fontId="62" fillId="0" borderId="1" xfId="0" applyFont="1" applyBorder="1" applyAlignment="1" applyProtection="1">
      <alignment horizontal="center" vertical="center"/>
      <protection locked="0"/>
    </xf>
    <xf numFmtId="2" fontId="9" fillId="0" borderId="1" xfId="0" applyNumberFormat="1" applyFont="1" applyBorder="1" applyAlignment="1">
      <alignment horizontal="center" vertical="center" wrapText="1"/>
    </xf>
    <xf numFmtId="164" fontId="5" fillId="0" borderId="1" xfId="0" applyNumberFormat="1" applyFont="1" applyBorder="1" applyAlignment="1" applyProtection="1">
      <alignment horizontal="center" vertical="center" shrinkToFit="1"/>
      <protection locked="0"/>
    </xf>
    <xf numFmtId="164" fontId="0" fillId="0" borderId="3" xfId="0" applyNumberFormat="1" applyBorder="1" applyAlignment="1" applyProtection="1">
      <alignment horizontal="center" vertical="center" shrinkToFit="1"/>
      <protection locked="0"/>
    </xf>
    <xf numFmtId="0" fontId="9" fillId="11" borderId="3" xfId="0" applyFont="1" applyFill="1" applyBorder="1" applyAlignment="1" applyProtection="1">
      <alignment horizontal="center" vertical="center" shrinkToFit="1"/>
      <protection hidden="1"/>
    </xf>
    <xf numFmtId="1" fontId="0" fillId="0" borderId="3" xfId="0" applyNumberFormat="1" applyBorder="1" applyAlignment="1" applyProtection="1">
      <alignment horizontal="center" vertical="center" shrinkToFit="1"/>
      <protection locked="0"/>
    </xf>
    <xf numFmtId="0" fontId="11" fillId="0" borderId="1" xfId="0" applyFont="1" applyBorder="1" applyAlignment="1">
      <alignment horizontal="center" vertical="center"/>
    </xf>
    <xf numFmtId="1" fontId="63" fillId="0" borderId="1" xfId="0" applyNumberFormat="1" applyFont="1" applyBorder="1" applyAlignment="1" applyProtection="1">
      <alignment horizontal="center" vertical="center"/>
      <protection hidden="1"/>
    </xf>
    <xf numFmtId="0" fontId="16" fillId="0" borderId="1" xfId="0" applyFont="1" applyBorder="1" applyAlignment="1" applyProtection="1">
      <alignment horizontal="center" vertical="center" shrinkToFit="1"/>
      <protection locked="0"/>
    </xf>
    <xf numFmtId="0" fontId="14" fillId="11" borderId="13" xfId="2" applyFont="1" applyFill="1" applyBorder="1" applyAlignment="1" applyProtection="1">
      <alignment vertical="center"/>
      <protection hidden="1"/>
    </xf>
    <xf numFmtId="0" fontId="13" fillId="11" borderId="13" xfId="2" applyFont="1" applyFill="1" applyBorder="1" applyAlignment="1" applyProtection="1">
      <alignment horizontal="center" vertical="center"/>
      <protection hidden="1"/>
    </xf>
    <xf numFmtId="0" fontId="0" fillId="0" borderId="13" xfId="0" applyBorder="1"/>
    <xf numFmtId="0" fontId="0" fillId="0" borderId="15" xfId="0" applyBorder="1"/>
    <xf numFmtId="0" fontId="0" fillId="0" borderId="22" xfId="0" applyBorder="1" applyAlignment="1" applyProtection="1">
      <alignment vertical="center" shrinkToFit="1"/>
      <protection hidden="1"/>
    </xf>
    <xf numFmtId="14" fontId="0" fillId="0" borderId="22" xfId="0" applyNumberFormat="1" applyBorder="1" applyAlignment="1" applyProtection="1">
      <alignment vertical="center" shrinkToFit="1"/>
      <protection hidden="1"/>
    </xf>
    <xf numFmtId="164" fontId="0" fillId="0" borderId="1" xfId="0" applyNumberFormat="1" applyBorder="1" applyAlignment="1" applyProtection="1">
      <alignment vertical="center" shrinkToFit="1"/>
      <protection hidden="1"/>
    </xf>
    <xf numFmtId="164" fontId="0" fillId="12" borderId="1" xfId="0" applyNumberFormat="1" applyFill="1" applyBorder="1" applyAlignment="1" applyProtection="1">
      <alignment vertical="center" shrinkToFit="1"/>
      <protection hidden="1"/>
    </xf>
    <xf numFmtId="164" fontId="0" fillId="0" borderId="22" xfId="0" applyNumberFormat="1" applyBorder="1" applyAlignment="1" applyProtection="1">
      <alignment vertical="center" shrinkToFit="1"/>
      <protection hidden="1"/>
    </xf>
    <xf numFmtId="164" fontId="0" fillId="12" borderId="22" xfId="0" applyNumberFormat="1" applyFill="1" applyBorder="1" applyAlignment="1" applyProtection="1">
      <alignment vertical="center" shrinkToFit="1"/>
      <protection hidden="1"/>
    </xf>
    <xf numFmtId="0" fontId="18" fillId="15" borderId="2" xfId="0" applyFont="1" applyFill="1" applyBorder="1" applyAlignment="1">
      <alignment horizontal="center" vertical="center"/>
    </xf>
    <xf numFmtId="41" fontId="0" fillId="19" borderId="1" xfId="0" applyNumberFormat="1" applyFill="1" applyBorder="1" applyAlignment="1" applyProtection="1">
      <alignment horizontal="center" vertical="center" shrinkToFit="1"/>
      <protection locked="0"/>
    </xf>
    <xf numFmtId="41" fontId="8" fillId="19" borderId="1" xfId="2" applyNumberFormat="1" applyFont="1" applyFill="1" applyBorder="1" applyAlignment="1" applyProtection="1">
      <alignment horizontal="center" vertical="center" shrinkToFit="1"/>
      <protection locked="0"/>
    </xf>
    <xf numFmtId="164" fontId="0" fillId="19" borderId="1" xfId="0" applyNumberFormat="1" applyFill="1" applyBorder="1" applyAlignment="1" applyProtection="1">
      <alignment horizontal="center" vertical="center"/>
      <protection locked="0"/>
    </xf>
    <xf numFmtId="41" fontId="37" fillId="8" borderId="1" xfId="0" applyNumberFormat="1" applyFont="1" applyFill="1" applyBorder="1" applyProtection="1">
      <protection hidden="1"/>
    </xf>
    <xf numFmtId="0" fontId="21" fillId="12" borderId="0" xfId="0" applyFont="1" applyFill="1" applyAlignment="1" applyProtection="1">
      <alignment horizontal="right"/>
      <protection hidden="1"/>
    </xf>
    <xf numFmtId="0" fontId="21" fillId="12" borderId="0" xfId="0" applyFont="1" applyFill="1" applyAlignment="1" applyProtection="1">
      <alignment vertical="top"/>
      <protection hidden="1"/>
    </xf>
    <xf numFmtId="0" fontId="26" fillId="12" borderId="0" xfId="0" applyFont="1" applyFill="1" applyAlignment="1" applyProtection="1">
      <alignment horizontal="center" vertical="center" shrinkToFit="1"/>
      <protection hidden="1"/>
    </xf>
    <xf numFmtId="1" fontId="27" fillId="12" borderId="0" xfId="0" applyNumberFormat="1" applyFont="1" applyFill="1" applyAlignment="1" applyProtection="1">
      <alignment horizontal="center" vertical="center" shrinkToFit="1"/>
      <protection hidden="1"/>
    </xf>
    <xf numFmtId="41" fontId="23" fillId="12" borderId="0" xfId="0" applyNumberFormat="1" applyFont="1" applyFill="1" applyAlignment="1" applyProtection="1">
      <alignment vertical="center" shrinkToFit="1"/>
      <protection hidden="1"/>
    </xf>
    <xf numFmtId="41" fontId="26" fillId="12" borderId="0" xfId="0" applyNumberFormat="1" applyFont="1" applyFill="1" applyAlignment="1">
      <alignment horizontal="center" vertical="center" shrinkToFit="1"/>
    </xf>
    <xf numFmtId="41" fontId="26" fillId="12" borderId="0" xfId="0" applyNumberFormat="1" applyFont="1" applyFill="1" applyAlignment="1">
      <alignment vertical="center" shrinkToFit="1"/>
    </xf>
    <xf numFmtId="41" fontId="28" fillId="12" borderId="0" xfId="0" applyNumberFormat="1" applyFont="1" applyFill="1" applyAlignment="1">
      <alignment vertical="center" shrinkToFit="1"/>
    </xf>
    <xf numFmtId="41" fontId="23" fillId="12" borderId="0" xfId="0" applyNumberFormat="1" applyFont="1" applyFill="1" applyAlignment="1" applyProtection="1">
      <alignment horizontal="left" vertical="center" shrinkToFit="1"/>
      <protection hidden="1"/>
    </xf>
    <xf numFmtId="41" fontId="34" fillId="12" borderId="0" xfId="0" applyNumberFormat="1" applyFont="1" applyFill="1" applyAlignment="1" applyProtection="1">
      <alignment horizontal="center" vertical="center" wrapText="1" shrinkToFit="1"/>
      <protection hidden="1"/>
    </xf>
    <xf numFmtId="41" fontId="21" fillId="12" borderId="0" xfId="0" applyNumberFormat="1" applyFont="1" applyFill="1" applyAlignment="1" applyProtection="1">
      <alignment horizontal="center" vertical="center" shrinkToFit="1"/>
      <protection hidden="1"/>
    </xf>
    <xf numFmtId="41" fontId="21" fillId="12" borderId="0" xfId="0" applyNumberFormat="1" applyFont="1" applyFill="1" applyAlignment="1" applyProtection="1">
      <alignment vertical="center" shrinkToFit="1"/>
      <protection hidden="1"/>
    </xf>
    <xf numFmtId="41" fontId="36" fillId="12" borderId="0" xfId="0" applyNumberFormat="1" applyFont="1" applyFill="1" applyAlignment="1" applyProtection="1">
      <alignment vertical="center" shrinkToFit="1"/>
      <protection hidden="1"/>
    </xf>
    <xf numFmtId="41" fontId="23" fillId="12" borderId="0" xfId="0" applyNumberFormat="1" applyFont="1" applyFill="1" applyAlignment="1" applyProtection="1">
      <alignment horizontal="center" vertical="center" shrinkToFit="1"/>
      <protection hidden="1"/>
    </xf>
    <xf numFmtId="0" fontId="39" fillId="12" borderId="0" xfId="0" applyFont="1" applyFill="1" applyAlignment="1" applyProtection="1">
      <alignment vertical="center"/>
      <protection hidden="1"/>
    </xf>
    <xf numFmtId="0" fontId="40" fillId="12" borderId="0" xfId="0" applyFont="1" applyFill="1" applyAlignment="1" applyProtection="1">
      <alignment horizontal="center"/>
      <protection hidden="1"/>
    </xf>
    <xf numFmtId="0" fontId="64" fillId="12" borderId="0" xfId="0" applyFont="1" applyFill="1" applyAlignment="1" applyProtection="1">
      <alignment horizontal="center" vertical="center" wrapText="1"/>
      <protection hidden="1"/>
    </xf>
    <xf numFmtId="0" fontId="9" fillId="0" borderId="1" xfId="0" applyFont="1" applyBorder="1" applyProtection="1">
      <protection hidden="1"/>
    </xf>
    <xf numFmtId="0" fontId="0" fillId="0" borderId="22" xfId="0" applyBorder="1"/>
    <xf numFmtId="17" fontId="0" fillId="0" borderId="1" xfId="0" applyNumberFormat="1" applyBorder="1" applyProtection="1">
      <protection hidden="1"/>
    </xf>
    <xf numFmtId="0" fontId="0" fillId="9" borderId="2" xfId="0" applyFill="1" applyBorder="1" applyAlignment="1" applyProtection="1">
      <alignment horizontal="left" vertical="center"/>
      <protection hidden="1"/>
    </xf>
    <xf numFmtId="0" fontId="0" fillId="9" borderId="1" xfId="0" applyFill="1" applyBorder="1" applyAlignment="1" applyProtection="1">
      <alignment horizontal="left" vertical="center"/>
      <protection hidden="1"/>
    </xf>
    <xf numFmtId="41" fontId="0" fillId="0" borderId="1" xfId="0" applyNumberFormat="1" applyBorder="1" applyAlignment="1" applyProtection="1">
      <alignment horizontal="right" vertical="center" wrapText="1"/>
      <protection hidden="1"/>
    </xf>
    <xf numFmtId="41" fontId="37" fillId="0" borderId="1" xfId="0" applyNumberFormat="1" applyFont="1" applyBorder="1" applyAlignment="1" applyProtection="1">
      <alignment vertical="center"/>
      <protection hidden="1"/>
    </xf>
    <xf numFmtId="41" fontId="37" fillId="19" borderId="1" xfId="0" applyNumberFormat="1" applyFont="1" applyFill="1" applyBorder="1" applyProtection="1">
      <protection hidden="1"/>
    </xf>
    <xf numFmtId="41" fontId="113" fillId="8" borderId="1" xfId="0" applyNumberFormat="1" applyFont="1" applyFill="1" applyBorder="1" applyAlignment="1" applyProtection="1">
      <alignment vertical="center"/>
      <protection hidden="1"/>
    </xf>
    <xf numFmtId="0" fontId="9" fillId="9" borderId="0" xfId="0" applyFont="1" applyFill="1"/>
    <xf numFmtId="49" fontId="6" fillId="0" borderId="23" xfId="0" applyNumberFormat="1" applyFont="1" applyBorder="1" applyAlignment="1" applyProtection="1">
      <alignment horizontal="center" vertical="center" shrinkToFit="1"/>
      <protection locked="0"/>
    </xf>
    <xf numFmtId="49" fontId="0" fillId="0" borderId="97" xfId="0" applyNumberFormat="1" applyBorder="1" applyAlignment="1" applyProtection="1">
      <alignment horizontal="center" vertical="center" shrinkToFit="1"/>
      <protection locked="0"/>
    </xf>
    <xf numFmtId="0" fontId="0" fillId="17" borderId="78" xfId="0" applyFill="1" applyBorder="1" applyAlignment="1">
      <alignment horizontal="center" vertical="center"/>
    </xf>
    <xf numFmtId="0" fontId="0" fillId="17" borderId="78" xfId="0" applyFill="1" applyBorder="1" applyAlignment="1">
      <alignment horizontal="center" vertical="center" shrinkToFit="1"/>
    </xf>
    <xf numFmtId="0" fontId="60" fillId="29" borderId="2" xfId="0" applyFont="1" applyFill="1" applyBorder="1" applyAlignment="1">
      <alignment horizontal="center" vertical="center"/>
    </xf>
    <xf numFmtId="0" fontId="87" fillId="31" borderId="2" xfId="0" applyFont="1" applyFill="1" applyBorder="1" applyAlignment="1">
      <alignment horizontal="center" vertical="center"/>
    </xf>
    <xf numFmtId="0" fontId="136" fillId="17" borderId="90" xfId="0" applyFont="1" applyFill="1" applyBorder="1" applyAlignment="1">
      <alignment horizontal="center" vertical="center" shrinkToFit="1"/>
    </xf>
    <xf numFmtId="1" fontId="0" fillId="7" borderId="1" xfId="0" applyNumberFormat="1" applyFill="1" applyBorder="1" applyAlignment="1" applyProtection="1">
      <alignment horizontal="center" vertical="center" shrinkToFit="1"/>
      <protection locked="0"/>
    </xf>
    <xf numFmtId="171" fontId="34" fillId="7" borderId="1" xfId="1" quotePrefix="1" applyNumberFormat="1" applyFont="1" applyFill="1" applyBorder="1" applyAlignment="1" applyProtection="1">
      <alignment horizontal="left" vertical="center" shrinkToFit="1"/>
      <protection hidden="1"/>
    </xf>
    <xf numFmtId="164" fontId="0" fillId="0" borderId="2" xfId="0" applyNumberFormat="1" applyBorder="1" applyAlignment="1" applyProtection="1">
      <alignment horizontal="center" vertical="center" shrinkToFit="1"/>
      <protection hidden="1"/>
    </xf>
    <xf numFmtId="0" fontId="18" fillId="24" borderId="82" xfId="0" applyFont="1" applyFill="1" applyBorder="1" applyAlignment="1" applyProtection="1">
      <alignment vertical="center"/>
      <protection hidden="1"/>
    </xf>
    <xf numFmtId="0" fontId="88" fillId="24" borderId="82" xfId="0" applyFont="1" applyFill="1" applyBorder="1" applyAlignment="1" applyProtection="1">
      <alignment horizontal="center" vertical="center"/>
      <protection hidden="1"/>
    </xf>
    <xf numFmtId="0" fontId="18" fillId="24" borderId="83" xfId="0" applyFont="1" applyFill="1" applyBorder="1" applyAlignment="1" applyProtection="1">
      <alignment vertical="center"/>
      <protection hidden="1"/>
    </xf>
    <xf numFmtId="0" fontId="0" fillId="24" borderId="25" xfId="0" applyFill="1" applyBorder="1" applyAlignment="1">
      <alignment horizontal="center" vertical="center"/>
    </xf>
    <xf numFmtId="1" fontId="0" fillId="0" borderId="25" xfId="0" applyNumberFormat="1" applyBorder="1" applyAlignment="1" applyProtection="1">
      <alignment horizontal="center" vertical="center" shrinkToFit="1"/>
      <protection locked="0"/>
    </xf>
    <xf numFmtId="0" fontId="5" fillId="8" borderId="99" xfId="0" applyFont="1" applyFill="1" applyBorder="1" applyAlignment="1" applyProtection="1">
      <alignment vertical="center" shrinkToFit="1"/>
      <protection hidden="1"/>
    </xf>
    <xf numFmtId="164" fontId="107" fillId="12" borderId="1" xfId="0" applyNumberFormat="1" applyFont="1" applyFill="1" applyBorder="1" applyAlignment="1" applyProtection="1">
      <alignment horizontal="center" vertical="center" shrinkToFit="1"/>
      <protection hidden="1"/>
    </xf>
    <xf numFmtId="0" fontId="107" fillId="12" borderId="1" xfId="0" applyFont="1" applyFill="1" applyBorder="1" applyAlignment="1" applyProtection="1">
      <alignment horizontal="center" vertical="center" shrinkToFit="1"/>
      <protection hidden="1"/>
    </xf>
    <xf numFmtId="1" fontId="107" fillId="12" borderId="1" xfId="0" applyNumberFormat="1" applyFont="1" applyFill="1" applyBorder="1" applyAlignment="1" applyProtection="1">
      <alignment horizontal="center" vertical="center" shrinkToFit="1"/>
      <protection hidden="1"/>
    </xf>
    <xf numFmtId="0" fontId="0" fillId="2" borderId="0" xfId="0" applyFill="1"/>
    <xf numFmtId="0" fontId="13" fillId="0" borderId="2" xfId="2" applyFont="1" applyBorder="1" applyAlignment="1" applyProtection="1">
      <alignment horizontal="center" vertical="center" shrinkToFit="1"/>
      <protection locked="0"/>
    </xf>
    <xf numFmtId="49" fontId="6" fillId="7" borderId="16" xfId="0" applyNumberFormat="1" applyFont="1" applyFill="1" applyBorder="1" applyAlignment="1" applyProtection="1">
      <alignment horizontal="center" vertical="center" shrinkToFit="1"/>
      <protection locked="0"/>
    </xf>
    <xf numFmtId="0" fontId="5" fillId="0" borderId="2" xfId="0" applyFont="1" applyBorder="1" applyAlignment="1" applyProtection="1">
      <alignment horizontal="center" vertical="center" shrinkToFit="1"/>
      <protection locked="0"/>
    </xf>
    <xf numFmtId="1" fontId="0" fillId="0" borderId="2" xfId="0" applyNumberFormat="1" applyBorder="1" applyAlignment="1" applyProtection="1">
      <alignment horizontal="center" vertical="center" shrinkToFit="1"/>
      <protection locked="0"/>
    </xf>
    <xf numFmtId="0" fontId="0" fillId="0" borderId="100" xfId="0" applyBorder="1" applyAlignment="1" applyProtection="1">
      <alignment horizontal="center" vertical="center" shrinkToFit="1"/>
      <protection locked="0"/>
    </xf>
    <xf numFmtId="0" fontId="5" fillId="17" borderId="101" xfId="0" applyFont="1" applyFill="1" applyBorder="1" applyAlignment="1">
      <alignment horizontal="center" vertical="center"/>
    </xf>
    <xf numFmtId="41" fontId="18" fillId="0" borderId="2" xfId="0" applyNumberFormat="1" applyFont="1" applyBorder="1" applyAlignment="1" applyProtection="1">
      <alignment horizontal="center" vertical="center" shrinkToFit="1"/>
      <protection locked="0"/>
    </xf>
    <xf numFmtId="0" fontId="9" fillId="11" borderId="2" xfId="0" applyFont="1" applyFill="1" applyBorder="1" applyAlignment="1" applyProtection="1">
      <alignment horizontal="center" vertical="center" shrinkToFit="1"/>
      <protection hidden="1"/>
    </xf>
    <xf numFmtId="1" fontId="0" fillId="0" borderId="2" xfId="0" applyNumberFormat="1" applyBorder="1" applyAlignment="1" applyProtection="1">
      <alignment horizontal="center" vertical="center" shrinkToFit="1"/>
      <protection hidden="1"/>
    </xf>
    <xf numFmtId="0" fontId="0" fillId="2" borderId="102" xfId="0" applyFill="1" applyBorder="1" applyProtection="1">
      <protection hidden="1"/>
    </xf>
    <xf numFmtId="0" fontId="0" fillId="2" borderId="103" xfId="0" applyFill="1" applyBorder="1" applyProtection="1">
      <protection hidden="1"/>
    </xf>
    <xf numFmtId="0" fontId="9" fillId="24" borderId="1" xfId="0" applyFont="1" applyFill="1" applyBorder="1" applyAlignment="1">
      <alignment horizontal="center" vertical="center" wrapText="1"/>
    </xf>
    <xf numFmtId="0" fontId="107" fillId="16" borderId="23" xfId="0" applyFont="1" applyFill="1" applyBorder="1" applyAlignment="1">
      <alignment horizontal="center" vertical="center" wrapText="1"/>
    </xf>
    <xf numFmtId="0" fontId="9" fillId="16" borderId="23" xfId="0" applyFont="1" applyFill="1" applyBorder="1" applyAlignment="1" applyProtection="1">
      <alignment horizontal="center" vertical="center" wrapText="1"/>
      <protection locked="0"/>
    </xf>
    <xf numFmtId="0" fontId="9" fillId="16" borderId="16" xfId="0" applyFont="1" applyFill="1" applyBorder="1" applyAlignment="1" applyProtection="1">
      <alignment horizontal="center" vertical="center" wrapText="1"/>
      <protection locked="0"/>
    </xf>
    <xf numFmtId="1" fontId="0" fillId="0" borderId="2" xfId="0" applyNumberFormat="1" applyBorder="1" applyAlignment="1" applyProtection="1">
      <alignment horizontal="center" vertical="center"/>
      <protection locked="0"/>
    </xf>
    <xf numFmtId="0" fontId="18" fillId="29" borderId="12" xfId="0" applyFont="1" applyFill="1" applyBorder="1" applyAlignment="1">
      <alignment vertical="center"/>
    </xf>
    <xf numFmtId="0" fontId="0" fillId="24" borderId="111" xfId="0" applyFill="1" applyBorder="1" applyAlignment="1">
      <alignment horizontal="center" vertical="center" shrinkToFit="1"/>
    </xf>
    <xf numFmtId="49" fontId="115" fillId="7" borderId="97" xfId="0" applyNumberFormat="1" applyFont="1" applyFill="1" applyBorder="1" applyAlignment="1" applyProtection="1">
      <alignment horizontal="center" vertical="center" shrinkToFit="1"/>
      <protection locked="0"/>
    </xf>
    <xf numFmtId="0" fontId="142" fillId="0" borderId="1" xfId="2" applyFont="1" applyBorder="1" applyAlignment="1" applyProtection="1">
      <alignment horizontal="center" vertical="center" shrinkToFit="1"/>
      <protection locked="0"/>
    </xf>
    <xf numFmtId="1" fontId="16" fillId="0" borderId="1" xfId="0" applyNumberFormat="1" applyFont="1" applyBorder="1" applyAlignment="1" applyProtection="1">
      <alignment horizontal="center" vertical="center" shrinkToFit="1"/>
      <protection locked="0"/>
    </xf>
    <xf numFmtId="0" fontId="16" fillId="0" borderId="79" xfId="0" applyFont="1" applyBorder="1" applyAlignment="1" applyProtection="1">
      <alignment horizontal="center" vertical="center" shrinkToFit="1"/>
      <protection locked="0"/>
    </xf>
    <xf numFmtId="0" fontId="16" fillId="0" borderId="2" xfId="0" applyFont="1" applyBorder="1" applyAlignment="1" applyProtection="1">
      <alignment horizontal="center" vertical="center" shrinkToFit="1"/>
      <protection locked="0"/>
    </xf>
    <xf numFmtId="0" fontId="0" fillId="2" borderId="85" xfId="0" applyFill="1" applyBorder="1" applyProtection="1">
      <protection hidden="1"/>
    </xf>
    <xf numFmtId="49" fontId="10" fillId="5" borderId="23" xfId="0" applyNumberFormat="1" applyFont="1" applyFill="1" applyBorder="1" applyAlignment="1" applyProtection="1">
      <alignment horizontal="center" vertical="center" shrinkToFit="1"/>
      <protection hidden="1"/>
    </xf>
    <xf numFmtId="164" fontId="52" fillId="0" borderId="40" xfId="6" applyNumberFormat="1" applyFont="1" applyFill="1" applyBorder="1" applyAlignment="1" applyProtection="1">
      <alignment horizontal="right" vertical="center" shrinkToFit="1"/>
      <protection hidden="1"/>
    </xf>
    <xf numFmtId="179" fontId="0" fillId="0" borderId="1" xfId="0" applyNumberFormat="1" applyBorder="1"/>
    <xf numFmtId="0" fontId="0" fillId="0" borderId="1" xfId="0" applyBorder="1" applyAlignment="1">
      <alignment horizontal="left"/>
    </xf>
    <xf numFmtId="0" fontId="146" fillId="0" borderId="0" xfId="0" applyFont="1"/>
    <xf numFmtId="0" fontId="20" fillId="25" borderId="91" xfId="0" applyFont="1" applyFill="1" applyBorder="1" applyAlignment="1">
      <alignment horizontal="left" vertical="center" shrinkToFit="1"/>
    </xf>
    <xf numFmtId="0" fontId="0" fillId="16" borderId="22" xfId="0" applyFill="1" applyBorder="1" applyAlignment="1" applyProtection="1">
      <alignment horizontal="center" vertical="center" shrinkToFit="1"/>
      <protection locked="0"/>
    </xf>
    <xf numFmtId="0" fontId="5" fillId="25" borderId="22" xfId="0" applyFont="1" applyFill="1" applyBorder="1" applyAlignment="1" applyProtection="1">
      <alignment vertical="center"/>
      <protection hidden="1"/>
    </xf>
    <xf numFmtId="0" fontId="5" fillId="25" borderId="22" xfId="0" applyFont="1" applyFill="1" applyBorder="1" applyAlignment="1">
      <alignment vertical="center"/>
    </xf>
    <xf numFmtId="41" fontId="0" fillId="7" borderId="114" xfId="0" applyNumberFormat="1" applyFill="1" applyBorder="1" applyAlignment="1" applyProtection="1">
      <alignment horizontal="center" vertical="center" shrinkToFit="1"/>
      <protection locked="0"/>
    </xf>
    <xf numFmtId="0" fontId="0" fillId="12" borderId="120" xfId="0" applyFill="1" applyBorder="1"/>
    <xf numFmtId="0" fontId="0" fillId="12" borderId="121" xfId="0" applyFill="1" applyBorder="1"/>
    <xf numFmtId="0" fontId="62" fillId="0" borderId="0" xfId="0" applyFont="1" applyAlignment="1">
      <alignment horizontal="right"/>
    </xf>
    <xf numFmtId="0" fontId="20" fillId="17" borderId="1" xfId="0" applyFont="1" applyFill="1" applyBorder="1" applyAlignment="1" applyProtection="1">
      <alignment horizontal="center" vertical="center"/>
      <protection hidden="1"/>
    </xf>
    <xf numFmtId="0" fontId="16" fillId="17" borderId="1" xfId="0" applyFont="1" applyFill="1" applyBorder="1" applyAlignment="1">
      <alignment horizontal="center" vertical="center"/>
    </xf>
    <xf numFmtId="9" fontId="0" fillId="0" borderId="0" xfId="0" applyNumberFormat="1"/>
    <xf numFmtId="0" fontId="148" fillId="34" borderId="1" xfId="0" applyFont="1" applyFill="1" applyBorder="1" applyAlignment="1">
      <alignment horizontal="center" vertical="center" wrapText="1"/>
    </xf>
    <xf numFmtId="0" fontId="148" fillId="0" borderId="1" xfId="0" applyFont="1" applyBorder="1" applyAlignment="1">
      <alignment horizontal="center" vertical="center" wrapText="1"/>
    </xf>
    <xf numFmtId="9" fontId="148" fillId="0" borderId="1" xfId="0" applyNumberFormat="1" applyFont="1" applyBorder="1" applyAlignment="1">
      <alignment horizontal="center" vertical="center" wrapText="1"/>
    </xf>
    <xf numFmtId="0" fontId="149" fillId="0" borderId="1" xfId="0" applyFont="1" applyBorder="1" applyAlignment="1">
      <alignment vertical="center" wrapText="1"/>
    </xf>
    <xf numFmtId="0" fontId="150" fillId="0" borderId="1" xfId="0" applyFont="1" applyBorder="1" applyAlignment="1">
      <alignment vertical="center" wrapText="1"/>
    </xf>
    <xf numFmtId="0" fontId="0" fillId="0" borderId="129" xfId="0" applyBorder="1"/>
    <xf numFmtId="0" fontId="152" fillId="35" borderId="1" xfId="0" applyFont="1" applyFill="1" applyBorder="1" applyAlignment="1">
      <alignment horizontal="left" wrapText="1" indent="1"/>
    </xf>
    <xf numFmtId="0" fontId="153" fillId="36" borderId="1" xfId="0" applyFont="1" applyFill="1" applyBorder="1" applyAlignment="1">
      <alignment vertical="top" wrapText="1" indent="1"/>
    </xf>
    <xf numFmtId="0" fontId="153" fillId="37" borderId="1" xfId="0" applyFont="1" applyFill="1" applyBorder="1" applyAlignment="1">
      <alignment vertical="top" wrapText="1" indent="1"/>
    </xf>
    <xf numFmtId="9" fontId="153" fillId="37" borderId="1" xfId="0" applyNumberFormat="1" applyFont="1" applyFill="1" applyBorder="1" applyAlignment="1">
      <alignment vertical="top" wrapText="1" indent="1"/>
    </xf>
    <xf numFmtId="9" fontId="153" fillId="36" borderId="1" xfId="0" applyNumberFormat="1" applyFont="1" applyFill="1" applyBorder="1" applyAlignment="1">
      <alignment vertical="top" wrapText="1" indent="1"/>
    </xf>
    <xf numFmtId="0" fontId="155" fillId="36" borderId="1" xfId="0" applyFont="1" applyFill="1" applyBorder="1" applyAlignment="1">
      <alignment vertical="top" wrapText="1" indent="1"/>
    </xf>
    <xf numFmtId="9" fontId="155" fillId="37" borderId="1" xfId="0" applyNumberFormat="1" applyFont="1" applyFill="1" applyBorder="1" applyAlignment="1">
      <alignment vertical="top" wrapText="1" indent="1"/>
    </xf>
    <xf numFmtId="0" fontId="0" fillId="0" borderId="23" xfId="0" applyBorder="1"/>
    <xf numFmtId="0" fontId="0" fillId="23" borderId="3" xfId="0" applyFill="1" applyBorder="1"/>
    <xf numFmtId="1" fontId="0" fillId="23" borderId="9" xfId="0" applyNumberFormat="1" applyFill="1" applyBorder="1" applyAlignment="1">
      <alignment horizontal="right"/>
    </xf>
    <xf numFmtId="1" fontId="0" fillId="23" borderId="1" xfId="0" applyNumberFormat="1" applyFill="1" applyBorder="1" applyAlignment="1">
      <alignment horizontal="right"/>
    </xf>
    <xf numFmtId="1" fontId="0" fillId="23" borderId="25" xfId="0" applyNumberFormat="1" applyFill="1" applyBorder="1" applyAlignment="1">
      <alignment horizontal="right"/>
    </xf>
    <xf numFmtId="1" fontId="0" fillId="23" borderId="9" xfId="0" applyNumberFormat="1" applyFill="1" applyBorder="1" applyAlignment="1">
      <alignment horizontal="right" vertical="center"/>
    </xf>
    <xf numFmtId="1" fontId="0" fillId="23" borderId="1" xfId="0" applyNumberFormat="1" applyFill="1" applyBorder="1" applyAlignment="1">
      <alignment horizontal="right" vertical="center"/>
    </xf>
    <xf numFmtId="1" fontId="0" fillId="23" borderId="25" xfId="0" applyNumberFormat="1" applyFill="1" applyBorder="1" applyAlignment="1">
      <alignment horizontal="right" vertical="center"/>
    </xf>
    <xf numFmtId="1" fontId="0" fillId="23" borderId="10" xfId="0" applyNumberFormat="1" applyFill="1" applyBorder="1" applyAlignment="1">
      <alignment horizontal="right"/>
    </xf>
    <xf numFmtId="0" fontId="0" fillId="23" borderId="5" xfId="0" applyFill="1" applyBorder="1"/>
    <xf numFmtId="0" fontId="158" fillId="0" borderId="131" xfId="0" applyFont="1" applyBorder="1" applyAlignment="1">
      <alignment horizontal="center" vertical="center" wrapText="1"/>
    </xf>
    <xf numFmtId="0" fontId="158" fillId="0" borderId="132" xfId="0" applyFont="1" applyBorder="1" applyAlignment="1">
      <alignment horizontal="center" vertical="center" wrapText="1"/>
    </xf>
    <xf numFmtId="0" fontId="159" fillId="0" borderId="130" xfId="0" applyFont="1" applyBorder="1" applyAlignment="1">
      <alignment vertical="center" wrapText="1"/>
    </xf>
    <xf numFmtId="0" fontId="159" fillId="0" borderId="130" xfId="0" applyFont="1" applyBorder="1" applyAlignment="1">
      <alignment horizontal="right" vertical="center" wrapText="1"/>
    </xf>
    <xf numFmtId="0" fontId="158" fillId="0" borderId="130" xfId="0" applyFont="1" applyBorder="1" applyAlignment="1">
      <alignment vertical="center" wrapText="1"/>
    </xf>
    <xf numFmtId="0" fontId="158" fillId="0" borderId="130" xfId="0" applyFont="1" applyBorder="1" applyAlignment="1">
      <alignment horizontal="right" vertical="center" wrapText="1"/>
    </xf>
    <xf numFmtId="0" fontId="160" fillId="0" borderId="0" xfId="0" applyFont="1" applyAlignment="1">
      <alignment horizontal="left" vertical="center" wrapText="1"/>
    </xf>
    <xf numFmtId="0" fontId="158" fillId="0" borderId="130" xfId="0" applyFont="1" applyBorder="1" applyAlignment="1">
      <alignment horizontal="center" vertical="center" wrapText="1"/>
    </xf>
    <xf numFmtId="9" fontId="159" fillId="0" borderId="130" xfId="0" applyNumberFormat="1" applyFont="1" applyBorder="1" applyAlignment="1">
      <alignment horizontal="right" vertical="center" wrapText="1"/>
    </xf>
    <xf numFmtId="3" fontId="159" fillId="0" borderId="130" xfId="0" applyNumberFormat="1" applyFont="1" applyBorder="1" applyAlignment="1">
      <alignment horizontal="right" vertical="center" wrapText="1"/>
    </xf>
    <xf numFmtId="0" fontId="159" fillId="0" borderId="131" xfId="0" applyFont="1" applyBorder="1" applyAlignment="1">
      <alignment vertical="center" wrapText="1"/>
    </xf>
    <xf numFmtId="0" fontId="159" fillId="0" borderId="132" xfId="0" applyFont="1" applyBorder="1" applyAlignment="1">
      <alignment vertical="center" wrapText="1"/>
    </xf>
    <xf numFmtId="0" fontId="109" fillId="0" borderId="130" xfId="0" applyFont="1" applyBorder="1" applyAlignment="1">
      <alignment vertical="top" wrapText="1"/>
    </xf>
    <xf numFmtId="0" fontId="0" fillId="0" borderId="138" xfId="0" applyBorder="1"/>
    <xf numFmtId="0" fontId="0" fillId="0" borderId="3" xfId="0" applyBorder="1" applyAlignment="1">
      <alignment horizontal="left"/>
    </xf>
    <xf numFmtId="0" fontId="0" fillId="0" borderId="2" xfId="0" applyBorder="1" applyAlignment="1">
      <alignment horizontal="left"/>
    </xf>
    <xf numFmtId="0" fontId="0" fillId="0" borderId="9" xfId="0" applyBorder="1" applyAlignment="1">
      <alignment horizontal="left"/>
    </xf>
    <xf numFmtId="0" fontId="0" fillId="0" borderId="25" xfId="0" applyBorder="1" applyAlignment="1">
      <alignment horizontal="left"/>
    </xf>
    <xf numFmtId="14" fontId="6" fillId="0" borderId="12" xfId="2" applyNumberFormat="1" applyFont="1" applyBorder="1" applyAlignment="1" applyProtection="1">
      <alignment horizontal="center" vertical="center" shrinkToFit="1"/>
      <protection locked="0"/>
    </xf>
    <xf numFmtId="3" fontId="0" fillId="9" borderId="1" xfId="0" applyNumberFormat="1" applyFill="1" applyBorder="1"/>
    <xf numFmtId="3" fontId="0" fillId="9" borderId="0" xfId="0" applyNumberFormat="1" applyFill="1"/>
    <xf numFmtId="0" fontId="0" fillId="0" borderId="27" xfId="0" applyBorder="1"/>
    <xf numFmtId="0" fontId="62" fillId="0" borderId="9" xfId="0" applyFont="1" applyBorder="1"/>
    <xf numFmtId="0" fontId="62" fillId="0" borderId="10" xfId="0" applyFont="1" applyBorder="1"/>
    <xf numFmtId="0" fontId="62" fillId="0" borderId="11" xfId="0" applyFont="1" applyBorder="1"/>
    <xf numFmtId="41" fontId="0" fillId="0" borderId="2" xfId="0" applyNumberFormat="1" applyBorder="1"/>
    <xf numFmtId="0" fontId="0" fillId="0" borderId="139" xfId="0" applyBorder="1"/>
    <xf numFmtId="0" fontId="0" fillId="0" borderId="140" xfId="0" applyBorder="1"/>
    <xf numFmtId="0" fontId="0" fillId="0" borderId="139" xfId="0" applyBorder="1" applyAlignment="1">
      <alignment horizontal="left"/>
    </xf>
    <xf numFmtId="0" fontId="0" fillId="0" borderId="4" xfId="0" applyBorder="1" applyAlignment="1">
      <alignment horizontal="left"/>
    </xf>
    <xf numFmtId="0" fontId="0" fillId="0" borderId="140" xfId="0" applyBorder="1" applyAlignment="1">
      <alignment horizontal="left"/>
    </xf>
    <xf numFmtId="0" fontId="0" fillId="0" borderId="26" xfId="0" applyBorder="1" applyAlignment="1">
      <alignment horizontal="left"/>
    </xf>
    <xf numFmtId="0" fontId="0" fillId="0" borderId="6" xfId="0" applyBorder="1" applyAlignment="1">
      <alignment horizontal="left"/>
    </xf>
    <xf numFmtId="0" fontId="0" fillId="8" borderId="1" xfId="0" applyFill="1" applyBorder="1" applyAlignment="1">
      <alignment vertical="center" wrapText="1"/>
    </xf>
    <xf numFmtId="0" fontId="9" fillId="2" borderId="0" xfId="0" applyFont="1" applyFill="1"/>
    <xf numFmtId="0" fontId="162" fillId="2" borderId="0" xfId="5" applyFont="1" applyFill="1" applyAlignment="1">
      <alignment vertical="center"/>
    </xf>
    <xf numFmtId="0" fontId="0" fillId="12" borderId="0" xfId="0" applyFill="1" applyAlignment="1">
      <alignment vertical="center" wrapText="1"/>
    </xf>
    <xf numFmtId="0" fontId="0" fillId="30" borderId="0" xfId="0" applyFill="1"/>
    <xf numFmtId="0" fontId="18" fillId="9" borderId="0" xfId="0" applyFont="1" applyFill="1"/>
    <xf numFmtId="0" fontId="0" fillId="38" borderId="9" xfId="0" applyFill="1" applyBorder="1"/>
    <xf numFmtId="0" fontId="0" fillId="38" borderId="1" xfId="0" applyFill="1" applyBorder="1"/>
    <xf numFmtId="0" fontId="0" fillId="38" borderId="25" xfId="0" applyFill="1" applyBorder="1"/>
    <xf numFmtId="0" fontId="0" fillId="8" borderId="1" xfId="0" applyFill="1" applyBorder="1" applyAlignment="1" applyProtection="1">
      <alignment horizontal="left"/>
      <protection hidden="1"/>
    </xf>
    <xf numFmtId="0" fontId="0" fillId="8" borderId="1" xfId="0" applyFill="1" applyBorder="1" applyProtection="1">
      <protection hidden="1"/>
    </xf>
    <xf numFmtId="0" fontId="0" fillId="8" borderId="0" xfId="0" applyFill="1" applyAlignment="1">
      <alignment horizontal="center" vertical="center"/>
    </xf>
    <xf numFmtId="0" fontId="107" fillId="5" borderId="1" xfId="0" applyFont="1" applyFill="1" applyBorder="1" applyAlignment="1" applyProtection="1">
      <alignment vertical="center" wrapText="1"/>
      <protection hidden="1"/>
    </xf>
    <xf numFmtId="0" fontId="103" fillId="5" borderId="1" xfId="0" applyFont="1" applyFill="1" applyBorder="1" applyAlignment="1" applyProtection="1">
      <alignment horizontal="center" vertical="top" wrapText="1"/>
      <protection hidden="1"/>
    </xf>
    <xf numFmtId="14" fontId="0" fillId="0" borderId="1" xfId="0" applyNumberFormat="1" applyBorder="1" applyAlignment="1">
      <alignment vertical="center"/>
    </xf>
    <xf numFmtId="0" fontId="0" fillId="0" borderId="1" xfId="0" applyBorder="1" applyAlignment="1">
      <alignment horizontal="right" vertical="center"/>
    </xf>
    <xf numFmtId="41" fontId="8" fillId="7" borderId="1" xfId="2" applyNumberFormat="1" applyFont="1" applyFill="1" applyBorder="1" applyAlignment="1" applyProtection="1">
      <alignment horizontal="center" vertical="center" shrinkToFit="1"/>
      <protection locked="0"/>
    </xf>
    <xf numFmtId="3" fontId="166" fillId="12" borderId="0" xfId="0" applyNumberFormat="1" applyFont="1" applyFill="1" applyAlignment="1" applyProtection="1">
      <alignment horizontal="right" vertical="center" shrinkToFit="1"/>
      <protection hidden="1"/>
    </xf>
    <xf numFmtId="3" fontId="166" fillId="12" borderId="87" xfId="0" applyNumberFormat="1" applyFont="1" applyFill="1" applyBorder="1" applyAlignment="1" applyProtection="1">
      <alignment horizontal="right" vertical="center" shrinkToFit="1"/>
      <protection hidden="1"/>
    </xf>
    <xf numFmtId="3" fontId="167" fillId="12" borderId="0" xfId="0" applyNumberFormat="1" applyFont="1" applyFill="1" applyAlignment="1" applyProtection="1">
      <alignment horizontal="right" vertical="center" shrinkToFit="1"/>
      <protection hidden="1"/>
    </xf>
    <xf numFmtId="0" fontId="170" fillId="19" borderId="1" xfId="0" applyFont="1" applyFill="1" applyBorder="1" applyAlignment="1" applyProtection="1">
      <alignment horizontal="center" vertical="center" wrapText="1" shrinkToFit="1"/>
      <protection hidden="1"/>
    </xf>
    <xf numFmtId="0" fontId="170" fillId="19" borderId="1" xfId="0" applyFont="1" applyFill="1" applyBorder="1" applyAlignment="1" applyProtection="1">
      <alignment horizontal="center" vertical="top" wrapText="1" shrinkToFit="1"/>
      <protection hidden="1"/>
    </xf>
    <xf numFmtId="0" fontId="0" fillId="0" borderId="77" xfId="0" applyBorder="1"/>
    <xf numFmtId="0" fontId="0" fillId="12" borderId="147" xfId="0" applyFill="1" applyBorder="1"/>
    <xf numFmtId="164" fontId="0" fillId="0" borderId="22" xfId="0" applyNumberFormat="1" applyBorder="1"/>
    <xf numFmtId="0" fontId="172" fillId="12" borderId="98" xfId="0" applyFont="1" applyFill="1" applyBorder="1" applyAlignment="1">
      <alignment vertical="center" wrapText="1"/>
    </xf>
    <xf numFmtId="1" fontId="0" fillId="0" borderId="22" xfId="0" applyNumberFormat="1" applyBorder="1" applyAlignment="1" applyProtection="1">
      <alignment horizontal="center" vertical="center"/>
      <protection hidden="1"/>
    </xf>
    <xf numFmtId="0" fontId="0" fillId="0" borderId="54" xfId="0" applyBorder="1"/>
    <xf numFmtId="0" fontId="0" fillId="0" borderId="54" xfId="0" applyBorder="1" applyAlignment="1">
      <alignment horizontal="center" vertical="center"/>
    </xf>
    <xf numFmtId="0" fontId="0" fillId="0" borderId="54" xfId="0" applyBorder="1" applyAlignment="1">
      <alignment vertical="center"/>
    </xf>
    <xf numFmtId="0" fontId="11" fillId="8" borderId="54" xfId="0" applyFont="1" applyFill="1" applyBorder="1" applyAlignment="1">
      <alignment vertical="center" wrapText="1"/>
    </xf>
    <xf numFmtId="0" fontId="0" fillId="8" borderId="54" xfId="0" applyFill="1" applyBorder="1" applyAlignment="1">
      <alignment horizontal="center" vertical="center"/>
    </xf>
    <xf numFmtId="0" fontId="0" fillId="8" borderId="54" xfId="0" applyFill="1" applyBorder="1"/>
    <xf numFmtId="0" fontId="87" fillId="25" borderId="90" xfId="0" applyFont="1" applyFill="1" applyBorder="1" applyAlignment="1">
      <alignment vertical="center"/>
    </xf>
    <xf numFmtId="1" fontId="87" fillId="0" borderId="1" xfId="0" applyNumberFormat="1" applyFont="1" applyBorder="1" applyAlignment="1" applyProtection="1">
      <alignment vertical="center" shrinkToFit="1"/>
      <protection locked="0"/>
    </xf>
    <xf numFmtId="1" fontId="73" fillId="0" borderId="0" xfId="0" applyNumberFormat="1" applyFont="1" applyAlignment="1">
      <alignment horizontal="center" vertical="center"/>
    </xf>
    <xf numFmtId="0" fontId="0" fillId="9" borderId="23" xfId="0" applyFill="1" applyBorder="1" applyAlignment="1">
      <alignment horizontal="center" vertical="center" wrapText="1" shrinkToFit="1"/>
    </xf>
    <xf numFmtId="0" fontId="0" fillId="0" borderId="149" xfId="0" applyBorder="1" applyAlignment="1">
      <alignment horizontal="center" vertical="center"/>
    </xf>
    <xf numFmtId="0" fontId="0" fillId="9" borderId="54" xfId="0" applyFill="1" applyBorder="1"/>
    <xf numFmtId="0" fontId="0" fillId="9" borderId="54" xfId="0" applyFill="1" applyBorder="1" applyAlignment="1">
      <alignment horizontal="center" vertical="center" wrapText="1" shrinkToFit="1"/>
    </xf>
    <xf numFmtId="1" fontId="0" fillId="0" borderId="54" xfId="0" applyNumberFormat="1" applyBorder="1"/>
    <xf numFmtId="0" fontId="0" fillId="0" borderId="150" xfId="0" applyBorder="1"/>
    <xf numFmtId="0" fontId="11" fillId="0" borderId="150" xfId="0" applyFont="1" applyBorder="1" applyAlignment="1" applyProtection="1">
      <alignment vertical="top" wrapText="1" shrinkToFit="1"/>
      <protection hidden="1"/>
    </xf>
    <xf numFmtId="0" fontId="7" fillId="0" borderId="150" xfId="0" applyFont="1" applyBorder="1" applyAlignment="1" applyProtection="1">
      <alignment vertical="top" wrapText="1" shrinkToFit="1"/>
      <protection hidden="1"/>
    </xf>
    <xf numFmtId="0" fontId="0" fillId="19" borderId="54" xfId="0" applyFill="1" applyBorder="1" applyAlignment="1">
      <alignment horizontal="center" vertical="center" wrapText="1"/>
    </xf>
    <xf numFmtId="0" fontId="0" fillId="19" borderId="54" xfId="0" applyFill="1" applyBorder="1" applyAlignment="1">
      <alignment horizontal="center" vertical="center"/>
    </xf>
    <xf numFmtId="0" fontId="0" fillId="0" borderId="26" xfId="0" applyBorder="1" applyAlignment="1">
      <alignment horizontal="right"/>
    </xf>
    <xf numFmtId="0" fontId="0" fillId="0" borderId="23" xfId="0" applyBorder="1" applyAlignment="1">
      <alignment horizontal="center" vertical="center"/>
    </xf>
    <xf numFmtId="0" fontId="0" fillId="0" borderId="16" xfId="0" applyBorder="1" applyAlignment="1">
      <alignment horizontal="center" vertical="center"/>
    </xf>
    <xf numFmtId="164" fontId="0" fillId="12" borderId="15" xfId="0" applyNumberFormat="1" applyFill="1" applyBorder="1" applyAlignment="1" applyProtection="1">
      <alignment vertical="center" shrinkToFit="1"/>
      <protection hidden="1"/>
    </xf>
    <xf numFmtId="0" fontId="173" fillId="0" borderId="23" xfId="0" applyFont="1" applyBorder="1" applyAlignment="1" applyProtection="1">
      <alignment horizontal="center" vertical="center" shrinkToFit="1"/>
      <protection locked="0"/>
    </xf>
    <xf numFmtId="0" fontId="164" fillId="9" borderId="2" xfId="0" applyFont="1" applyFill="1" applyBorder="1"/>
    <xf numFmtId="0" fontId="164" fillId="9" borderId="5" xfId="0" applyFont="1" applyFill="1" applyBorder="1"/>
    <xf numFmtId="0" fontId="164" fillId="9" borderId="3" xfId="0" applyFont="1" applyFill="1" applyBorder="1"/>
    <xf numFmtId="41" fontId="135" fillId="0" borderId="16" xfId="0" applyNumberFormat="1" applyFont="1" applyBorder="1" applyAlignment="1" applyProtection="1">
      <alignment horizontal="center" vertical="center" shrinkToFit="1"/>
      <protection locked="0"/>
    </xf>
    <xf numFmtId="41" fontId="134" fillId="0" borderId="16" xfId="0" applyNumberFormat="1" applyFont="1" applyBorder="1" applyAlignment="1" applyProtection="1">
      <alignment horizontal="center" vertical="center" shrinkToFit="1"/>
      <protection locked="0"/>
    </xf>
    <xf numFmtId="41" fontId="69" fillId="0" borderId="16" xfId="0" applyNumberFormat="1" applyFont="1" applyBorder="1" applyAlignment="1" applyProtection="1">
      <alignment horizontal="center" vertical="center" shrinkToFit="1"/>
      <protection locked="0"/>
    </xf>
    <xf numFmtId="0" fontId="134" fillId="0" borderId="2" xfId="0" applyFont="1" applyBorder="1" applyAlignment="1" applyProtection="1">
      <alignment horizontal="center" vertical="center" shrinkToFit="1"/>
      <protection locked="0"/>
    </xf>
    <xf numFmtId="0" fontId="141" fillId="0" borderId="2" xfId="2" applyFont="1" applyBorder="1" applyAlignment="1" applyProtection="1">
      <alignment horizontal="center" vertical="center" shrinkToFit="1"/>
      <protection locked="0"/>
    </xf>
    <xf numFmtId="0" fontId="115" fillId="0" borderId="2" xfId="0" applyFont="1" applyBorder="1" applyAlignment="1" applyProtection="1">
      <alignment horizontal="center" vertical="center" shrinkToFit="1"/>
      <protection locked="0"/>
    </xf>
    <xf numFmtId="1" fontId="104" fillId="0" borderId="13" xfId="0" applyNumberFormat="1" applyFont="1" applyBorder="1" applyAlignment="1" applyProtection="1">
      <alignment horizontal="center" vertical="center" shrinkToFit="1"/>
      <protection locked="0"/>
    </xf>
    <xf numFmtId="0" fontId="0" fillId="4" borderId="94" xfId="0" applyFill="1" applyBorder="1" applyAlignment="1">
      <alignment horizontal="left" vertical="center" shrinkToFit="1"/>
    </xf>
    <xf numFmtId="0" fontId="17" fillId="4" borderId="90" xfId="2" applyFont="1" applyFill="1" applyBorder="1" applyAlignment="1" applyProtection="1">
      <alignment horizontal="left" vertical="center" shrinkToFit="1"/>
      <protection hidden="1"/>
    </xf>
    <xf numFmtId="0" fontId="0" fillId="5" borderId="90" xfId="0" applyFill="1" applyBorder="1" applyAlignment="1">
      <alignment horizontal="left" vertical="center" shrinkToFit="1"/>
    </xf>
    <xf numFmtId="0" fontId="17" fillId="5" borderId="90" xfId="2" applyFont="1" applyFill="1" applyBorder="1" applyAlignment="1" applyProtection="1">
      <alignment horizontal="left" vertical="center" shrinkToFit="1"/>
      <protection hidden="1"/>
    </xf>
    <xf numFmtId="0" fontId="130" fillId="12" borderId="152" xfId="0" applyFont="1" applyFill="1" applyBorder="1" applyAlignment="1" applyProtection="1">
      <alignment horizontal="left" vertical="center" shrinkToFit="1"/>
      <protection hidden="1"/>
    </xf>
    <xf numFmtId="0" fontId="131" fillId="12" borderId="153" xfId="0" applyFont="1" applyFill="1" applyBorder="1" applyAlignment="1" applyProtection="1">
      <alignment horizontal="left" vertical="center" shrinkToFit="1"/>
      <protection hidden="1"/>
    </xf>
    <xf numFmtId="0" fontId="165" fillId="5" borderId="154" xfId="2" applyFont="1" applyFill="1" applyBorder="1" applyAlignment="1" applyProtection="1">
      <alignment horizontal="left" vertical="center" shrinkToFit="1"/>
      <protection hidden="1"/>
    </xf>
    <xf numFmtId="0" fontId="13" fillId="0" borderId="155" xfId="2" applyFont="1" applyBorder="1" applyAlignment="1" applyProtection="1">
      <alignment horizontal="center" vertical="center" shrinkToFit="1"/>
      <protection locked="0"/>
    </xf>
    <xf numFmtId="49" fontId="10" fillId="7" borderId="112" xfId="0" applyNumberFormat="1" applyFont="1" applyFill="1" applyBorder="1" applyAlignment="1" applyProtection="1">
      <alignment horizontal="center" vertical="center" shrinkToFit="1"/>
      <protection locked="0"/>
    </xf>
    <xf numFmtId="0" fontId="0" fillId="0" borderId="112" xfId="0" applyBorder="1" applyAlignment="1" applyProtection="1">
      <alignment horizontal="center" vertical="center" shrinkToFit="1"/>
      <protection locked="0"/>
    </xf>
    <xf numFmtId="0" fontId="17" fillId="5" borderId="156" xfId="2" applyFont="1" applyFill="1" applyBorder="1" applyAlignment="1" applyProtection="1">
      <alignment horizontal="left" vertical="center" shrinkToFit="1"/>
      <protection hidden="1"/>
    </xf>
    <xf numFmtId="41" fontId="115" fillId="0" borderId="157" xfId="0" applyNumberFormat="1" applyFont="1" applyBorder="1" applyAlignment="1" applyProtection="1">
      <alignment horizontal="center" vertical="center" shrinkToFit="1"/>
      <protection locked="0"/>
    </xf>
    <xf numFmtId="0" fontId="132" fillId="4" borderId="93" xfId="2" applyFont="1" applyFill="1" applyBorder="1" applyAlignment="1" applyProtection="1">
      <alignment horizontal="left" vertical="center" shrinkToFit="1"/>
      <protection hidden="1"/>
    </xf>
    <xf numFmtId="0" fontId="13" fillId="0" borderId="112" xfId="2" applyFont="1" applyBorder="1" applyAlignment="1" applyProtection="1">
      <alignment horizontal="center" vertical="center" shrinkToFit="1"/>
      <protection locked="0"/>
    </xf>
    <xf numFmtId="0" fontId="0" fillId="4" borderId="92" xfId="0" applyFill="1" applyBorder="1" applyAlignment="1">
      <alignment horizontal="left" vertical="center" shrinkToFit="1"/>
    </xf>
    <xf numFmtId="164" fontId="0" fillId="0" borderId="157" xfId="0" applyNumberFormat="1" applyBorder="1" applyAlignment="1" applyProtection="1">
      <alignment vertical="center" shrinkToFit="1"/>
      <protection locked="0"/>
    </xf>
    <xf numFmtId="9" fontId="0" fillId="0" borderId="1" xfId="0" applyNumberFormat="1" applyBorder="1" applyAlignment="1" applyProtection="1">
      <alignment horizontal="center" vertical="center"/>
      <protection locked="0"/>
    </xf>
    <xf numFmtId="0" fontId="0" fillId="38" borderId="1" xfId="0" applyFill="1" applyBorder="1" applyAlignment="1">
      <alignment horizontal="center" vertical="center"/>
    </xf>
    <xf numFmtId="0" fontId="5" fillId="38" borderId="1" xfId="0" applyFont="1" applyFill="1" applyBorder="1" applyAlignment="1">
      <alignment horizontal="center" vertical="center" wrapText="1"/>
    </xf>
    <xf numFmtId="0" fontId="0" fillId="16" borderId="1" xfId="0" applyFill="1" applyBorder="1" applyAlignment="1" applyProtection="1">
      <alignment horizontal="center" vertical="center" shrinkToFit="1"/>
      <protection hidden="1"/>
    </xf>
    <xf numFmtId="0" fontId="63" fillId="16" borderId="1" xfId="0" applyFont="1" applyFill="1" applyBorder="1" applyAlignment="1" applyProtection="1">
      <alignment horizontal="center" vertical="center" shrinkToFit="1"/>
      <protection hidden="1"/>
    </xf>
    <xf numFmtId="0" fontId="9" fillId="16" borderId="3" xfId="0" applyFont="1" applyFill="1" applyBorder="1" applyAlignment="1">
      <alignment horizontal="center" vertical="center" wrapText="1"/>
    </xf>
    <xf numFmtId="0" fontId="5" fillId="16" borderId="3" xfId="0" applyFont="1" applyFill="1" applyBorder="1" applyAlignment="1">
      <alignment horizontal="center" vertical="center" wrapText="1"/>
    </xf>
    <xf numFmtId="0" fontId="5" fillId="16" borderId="3" xfId="0" applyFont="1" applyFill="1" applyBorder="1" applyAlignment="1" applyProtection="1">
      <alignment horizontal="center" vertical="center" wrapText="1"/>
      <protection hidden="1"/>
    </xf>
    <xf numFmtId="0" fontId="11" fillId="16" borderId="3" xfId="0" applyFont="1" applyFill="1" applyBorder="1" applyAlignment="1" applyProtection="1">
      <alignment horizontal="center" vertical="center" wrapText="1"/>
      <protection hidden="1"/>
    </xf>
    <xf numFmtId="0" fontId="5" fillId="16" borderId="17" xfId="0" applyFont="1" applyFill="1" applyBorder="1" applyAlignment="1">
      <alignment horizontal="center" vertical="center" wrapText="1"/>
    </xf>
    <xf numFmtId="0" fontId="0" fillId="9" borderId="4" xfId="0" applyFill="1" applyBorder="1" applyAlignment="1">
      <alignment vertical="center"/>
    </xf>
    <xf numFmtId="0" fontId="5" fillId="0" borderId="0" xfId="0" applyFont="1" applyAlignment="1" applyProtection="1">
      <alignment horizontal="center" vertical="center" wrapText="1"/>
      <protection hidden="1"/>
    </xf>
    <xf numFmtId="0" fontId="9" fillId="9" borderId="1" xfId="0" applyFont="1" applyFill="1" applyBorder="1" applyAlignment="1">
      <alignment wrapText="1"/>
    </xf>
    <xf numFmtId="14" fontId="0" fillId="0" borderId="0" xfId="0" applyNumberFormat="1" applyAlignment="1">
      <alignment horizontal="center"/>
    </xf>
    <xf numFmtId="14" fontId="11" fillId="0" borderId="1" xfId="0" applyNumberFormat="1" applyFont="1" applyBorder="1" applyAlignment="1" applyProtection="1">
      <alignment horizontal="center" vertical="center" wrapText="1" shrinkToFit="1"/>
      <protection hidden="1"/>
    </xf>
    <xf numFmtId="0" fontId="9" fillId="19" borderId="54" xfId="0" applyFont="1" applyFill="1" applyBorder="1" applyAlignment="1">
      <alignment horizontal="center" vertical="center" wrapText="1"/>
    </xf>
    <xf numFmtId="0" fontId="9" fillId="19" borderId="150" xfId="0" applyFont="1" applyFill="1" applyBorder="1" applyAlignment="1">
      <alignment horizontal="center" vertical="center" wrapText="1"/>
    </xf>
    <xf numFmtId="0" fontId="178" fillId="12" borderId="0" xfId="0" applyFont="1" applyFill="1"/>
    <xf numFmtId="0" fontId="179" fillId="0" borderId="54" xfId="0" applyFont="1" applyBorder="1"/>
    <xf numFmtId="1" fontId="16" fillId="0" borderId="0" xfId="0" applyNumberFormat="1" applyFont="1" applyAlignment="1" applyProtection="1">
      <alignment horizontal="center" vertical="center" shrinkToFit="1"/>
      <protection locked="0"/>
    </xf>
    <xf numFmtId="1" fontId="16" fillId="7" borderId="3" xfId="0" applyNumberFormat="1" applyFont="1" applyFill="1" applyBorder="1" applyAlignment="1" applyProtection="1">
      <alignment horizontal="center" vertical="center" shrinkToFit="1"/>
      <protection locked="0"/>
    </xf>
    <xf numFmtId="1" fontId="16" fillId="7" borderId="1" xfId="0" applyNumberFormat="1" applyFont="1" applyFill="1" applyBorder="1" applyAlignment="1" applyProtection="1">
      <alignment horizontal="center" vertical="center" shrinkToFit="1"/>
      <protection locked="0"/>
    </xf>
    <xf numFmtId="41" fontId="180" fillId="38" borderId="1" xfId="0" applyNumberFormat="1" applyFont="1" applyFill="1" applyBorder="1" applyAlignment="1" applyProtection="1">
      <alignment horizontal="center" vertical="center" wrapText="1" shrinkToFit="1"/>
      <protection locked="0"/>
    </xf>
    <xf numFmtId="0" fontId="180" fillId="38" borderId="1" xfId="0" applyFont="1" applyFill="1" applyBorder="1" applyAlignment="1">
      <alignment horizontal="center" vertical="center" wrapText="1"/>
    </xf>
    <xf numFmtId="0" fontId="181" fillId="12" borderId="0" xfId="0" applyFont="1" applyFill="1" applyAlignment="1">
      <alignment horizontal="center" vertical="top" wrapText="1"/>
    </xf>
    <xf numFmtId="0" fontId="87" fillId="38" borderId="1" xfId="0" applyFont="1" applyFill="1" applyBorder="1" applyAlignment="1">
      <alignment horizontal="center" vertical="center"/>
    </xf>
    <xf numFmtId="0" fontId="172" fillId="12" borderId="0" xfId="0" applyFont="1" applyFill="1" applyAlignment="1">
      <alignment horizontal="center" vertical="center" shrinkToFit="1"/>
    </xf>
    <xf numFmtId="0" fontId="182" fillId="12" borderId="0" xfId="0" applyFont="1" applyFill="1" applyAlignment="1">
      <alignment horizontal="right" vertical="center" shrinkToFit="1"/>
    </xf>
    <xf numFmtId="0" fontId="63" fillId="16" borderId="22" xfId="0" applyFont="1" applyFill="1" applyBorder="1" applyAlignment="1" applyProtection="1">
      <alignment horizontal="center" vertical="center" shrinkToFit="1"/>
      <protection hidden="1"/>
    </xf>
    <xf numFmtId="1" fontId="0" fillId="0" borderId="75" xfId="0" applyNumberFormat="1" applyBorder="1" applyAlignment="1" applyProtection="1">
      <alignment horizontal="center" vertical="center" shrinkToFit="1"/>
      <protection locked="0"/>
    </xf>
    <xf numFmtId="164" fontId="144" fillId="12" borderId="162" xfId="0" applyNumberFormat="1" applyFont="1" applyFill="1" applyBorder="1" applyAlignment="1" applyProtection="1">
      <alignment horizontal="center" vertical="center" shrinkToFit="1"/>
      <protection hidden="1"/>
    </xf>
    <xf numFmtId="0" fontId="0" fillId="9" borderId="1" xfId="0" applyFill="1" applyBorder="1" applyAlignment="1">
      <alignment vertical="center"/>
    </xf>
    <xf numFmtId="41" fontId="16" fillId="0" borderId="1" xfId="0" applyNumberFormat="1" applyFont="1" applyBorder="1" applyAlignment="1" applyProtection="1">
      <alignment vertical="center"/>
      <protection hidden="1"/>
    </xf>
    <xf numFmtId="41" fontId="0" fillId="0" borderId="1" xfId="0" applyNumberFormat="1" applyBorder="1" applyAlignment="1">
      <alignment vertical="center"/>
    </xf>
    <xf numFmtId="41" fontId="0" fillId="9" borderId="1" xfId="0" applyNumberFormat="1" applyFill="1" applyBorder="1" applyAlignment="1">
      <alignment vertical="center"/>
    </xf>
    <xf numFmtId="0" fontId="0" fillId="0" borderId="12" xfId="0" applyBorder="1" applyAlignment="1">
      <alignment vertical="center"/>
    </xf>
    <xf numFmtId="0" fontId="0" fillId="0" borderId="5" xfId="0" applyBorder="1" applyAlignment="1">
      <alignment vertical="center"/>
    </xf>
    <xf numFmtId="0" fontId="0" fillId="0" borderId="14" xfId="0" applyBorder="1" applyAlignment="1">
      <alignment vertical="center"/>
    </xf>
    <xf numFmtId="0" fontId="0" fillId="9" borderId="1" xfId="0" applyFill="1" applyBorder="1" applyAlignment="1">
      <alignment horizontal="center" vertical="center"/>
    </xf>
    <xf numFmtId="14" fontId="0" fillId="5" borderId="1" xfId="0" applyNumberFormat="1" applyFill="1" applyBorder="1" applyAlignment="1">
      <alignment horizontal="center" vertical="center"/>
    </xf>
    <xf numFmtId="0" fontId="0" fillId="19" borderId="2" xfId="0" applyFill="1" applyBorder="1" applyAlignment="1">
      <alignment horizontal="center" vertical="center"/>
    </xf>
    <xf numFmtId="0" fontId="87" fillId="7" borderId="1" xfId="0" applyFont="1" applyFill="1" applyBorder="1" applyAlignment="1" applyProtection="1">
      <alignment horizontal="center" vertical="center"/>
      <protection locked="0"/>
    </xf>
    <xf numFmtId="0" fontId="0" fillId="0" borderId="150" xfId="0" applyBorder="1" applyAlignment="1">
      <alignment horizontal="center" vertical="center"/>
    </xf>
    <xf numFmtId="0" fontId="87" fillId="0" borderId="0" xfId="0" applyFont="1"/>
    <xf numFmtId="41" fontId="28" fillId="12" borderId="0" xfId="0" applyNumberFormat="1" applyFont="1" applyFill="1" applyAlignment="1">
      <alignment horizontal="center" vertical="center" shrinkToFit="1"/>
    </xf>
    <xf numFmtId="9" fontId="87" fillId="0" borderId="1" xfId="0" applyNumberFormat="1" applyFont="1" applyBorder="1" applyProtection="1">
      <protection hidden="1"/>
    </xf>
    <xf numFmtId="0" fontId="87" fillId="0" borderId="1" xfId="0" applyFont="1" applyBorder="1" applyProtection="1">
      <protection hidden="1"/>
    </xf>
    <xf numFmtId="0" fontId="87" fillId="0" borderId="0" xfId="0" applyFont="1" applyProtection="1">
      <protection hidden="1"/>
    </xf>
    <xf numFmtId="0" fontId="87" fillId="0" borderId="0" xfId="0" applyFont="1" applyAlignment="1" applyProtection="1">
      <alignment horizontal="center" vertical="center"/>
      <protection hidden="1"/>
    </xf>
    <xf numFmtId="41" fontId="87" fillId="0" borderId="0" xfId="0" applyNumberFormat="1" applyFont="1" applyProtection="1">
      <protection hidden="1"/>
    </xf>
    <xf numFmtId="0" fontId="87" fillId="0" borderId="1" xfId="0" applyFont="1" applyBorder="1" applyAlignment="1" applyProtection="1">
      <alignment horizontal="right"/>
      <protection hidden="1"/>
    </xf>
    <xf numFmtId="0" fontId="23" fillId="0" borderId="1" xfId="0" applyFont="1" applyBorder="1" applyAlignment="1" applyProtection="1">
      <alignment vertical="center" shrinkToFit="1"/>
      <protection hidden="1"/>
    </xf>
    <xf numFmtId="1" fontId="87" fillId="0" borderId="1" xfId="0" applyNumberFormat="1" applyFont="1" applyBorder="1" applyProtection="1">
      <protection hidden="1"/>
    </xf>
    <xf numFmtId="0" fontId="87" fillId="0" borderId="5" xfId="0" applyFont="1" applyBorder="1"/>
    <xf numFmtId="0" fontId="10" fillId="0" borderId="2" xfId="0" applyFont="1" applyBorder="1" applyAlignment="1" applyProtection="1">
      <alignment vertical="center"/>
      <protection hidden="1"/>
    </xf>
    <xf numFmtId="41" fontId="10" fillId="0" borderId="3" xfId="0" applyNumberFormat="1" applyFont="1" applyBorder="1" applyAlignment="1" applyProtection="1">
      <alignment vertical="center" shrinkToFit="1"/>
      <protection hidden="1"/>
    </xf>
    <xf numFmtId="0" fontId="3" fillId="0" borderId="5" xfId="0" applyFont="1" applyBorder="1"/>
    <xf numFmtId="41" fontId="87" fillId="0" borderId="19" xfId="0" applyNumberFormat="1" applyFont="1" applyBorder="1" applyAlignment="1" applyProtection="1">
      <alignment vertical="center" shrinkToFit="1"/>
      <protection hidden="1"/>
    </xf>
    <xf numFmtId="41" fontId="87" fillId="0" borderId="3" xfId="0" applyNumberFormat="1" applyFont="1" applyBorder="1" applyAlignment="1" applyProtection="1">
      <alignment vertical="center" shrinkToFit="1"/>
      <protection hidden="1"/>
    </xf>
    <xf numFmtId="41" fontId="10" fillId="0" borderId="1" xfId="0" applyNumberFormat="1" applyFont="1" applyBorder="1" applyAlignment="1" applyProtection="1">
      <alignment horizontal="left" vertical="center" shrinkToFit="1"/>
      <protection hidden="1"/>
    </xf>
    <xf numFmtId="41" fontId="3" fillId="0" borderId="1" xfId="0" applyNumberFormat="1" applyFont="1" applyBorder="1" applyAlignment="1" applyProtection="1">
      <alignment vertical="center" shrinkToFit="1"/>
      <protection hidden="1"/>
    </xf>
    <xf numFmtId="41" fontId="87" fillId="0" borderId="1" xfId="0" applyNumberFormat="1" applyFont="1" applyBorder="1" applyAlignment="1" applyProtection="1">
      <alignment vertical="center" shrinkToFit="1"/>
      <protection hidden="1"/>
    </xf>
    <xf numFmtId="0" fontId="10" fillId="0" borderId="5" xfId="0" applyFont="1" applyBorder="1" applyAlignment="1" applyProtection="1">
      <alignment vertical="center"/>
      <protection hidden="1"/>
    </xf>
    <xf numFmtId="0" fontId="10" fillId="0" borderId="1" xfId="0" applyFont="1" applyBorder="1" applyAlignment="1" applyProtection="1">
      <alignment horizontal="left" vertical="center"/>
      <protection hidden="1"/>
    </xf>
    <xf numFmtId="0" fontId="10" fillId="0" borderId="2" xfId="0" applyFont="1" applyBorder="1" applyAlignment="1" applyProtection="1">
      <alignment horizontal="left" vertical="center"/>
      <protection hidden="1"/>
    </xf>
    <xf numFmtId="0" fontId="10" fillId="0" borderId="5" xfId="0" applyFont="1" applyBorder="1" applyAlignment="1" applyProtection="1">
      <alignment horizontal="left" vertical="center"/>
      <protection hidden="1"/>
    </xf>
    <xf numFmtId="0" fontId="19" fillId="0" borderId="2" xfId="0" applyFont="1" applyBorder="1" applyAlignment="1" applyProtection="1">
      <alignment vertical="center"/>
      <protection hidden="1"/>
    </xf>
    <xf numFmtId="0" fontId="19" fillId="0" borderId="5" xfId="0" applyFont="1" applyBorder="1" applyAlignment="1" applyProtection="1">
      <alignment vertical="center"/>
      <protection hidden="1"/>
    </xf>
    <xf numFmtId="41" fontId="10" fillId="0" borderId="1" xfId="0" applyNumberFormat="1" applyFont="1" applyBorder="1" applyAlignment="1" applyProtection="1">
      <alignment vertical="center" shrinkToFit="1"/>
      <protection hidden="1"/>
    </xf>
    <xf numFmtId="0" fontId="10" fillId="13" borderId="2" xfId="0" applyFont="1" applyFill="1" applyBorder="1" applyAlignment="1" applyProtection="1">
      <alignment vertical="center"/>
      <protection hidden="1"/>
    </xf>
    <xf numFmtId="0" fontId="10" fillId="13" borderId="5" xfId="0" applyFont="1" applyFill="1" applyBorder="1" applyAlignment="1" applyProtection="1">
      <alignment vertical="center"/>
      <protection hidden="1"/>
    </xf>
    <xf numFmtId="168" fontId="10" fillId="0" borderId="1" xfId="0" applyNumberFormat="1" applyFont="1" applyBorder="1" applyAlignment="1" applyProtection="1">
      <alignment horizontal="right" vertical="center" shrinkToFit="1"/>
      <protection hidden="1"/>
    </xf>
    <xf numFmtId="0" fontId="26" fillId="16" borderId="1" xfId="0" applyFont="1" applyFill="1" applyBorder="1" applyAlignment="1" applyProtection="1">
      <alignment vertical="center" shrinkToFit="1"/>
      <protection hidden="1"/>
    </xf>
    <xf numFmtId="0" fontId="26" fillId="16" borderId="2" xfId="0" applyFont="1" applyFill="1" applyBorder="1" applyAlignment="1" applyProtection="1">
      <alignment shrinkToFit="1"/>
      <protection hidden="1"/>
    </xf>
    <xf numFmtId="0" fontId="27" fillId="16" borderId="1" xfId="0" applyFont="1" applyFill="1" applyBorder="1" applyAlignment="1" applyProtection="1">
      <alignment shrinkToFit="1"/>
      <protection hidden="1"/>
    </xf>
    <xf numFmtId="0" fontId="26" fillId="16" borderId="2" xfId="0" applyFont="1" applyFill="1" applyBorder="1" applyAlignment="1" applyProtection="1">
      <alignment vertical="center" shrinkToFit="1"/>
      <protection hidden="1"/>
    </xf>
    <xf numFmtId="0" fontId="3" fillId="0" borderId="12" xfId="0" applyFont="1" applyBorder="1"/>
    <xf numFmtId="1" fontId="87" fillId="0" borderId="6" xfId="0" applyNumberFormat="1" applyFont="1" applyBorder="1" applyAlignment="1">
      <alignment horizontal="center" vertical="center" shrinkToFit="1"/>
    </xf>
    <xf numFmtId="1" fontId="87" fillId="0" borderId="2" xfId="0" applyNumberFormat="1" applyFont="1" applyBorder="1" applyAlignment="1" applyProtection="1">
      <alignment horizontal="center" vertical="center" shrinkToFit="1"/>
      <protection hidden="1"/>
    </xf>
    <xf numFmtId="0" fontId="3" fillId="0" borderId="5" xfId="0" applyFont="1" applyBorder="1" applyAlignment="1" applyProtection="1">
      <alignment vertical="center"/>
      <protection hidden="1"/>
    </xf>
    <xf numFmtId="0" fontId="3" fillId="0" borderId="5" xfId="0" applyFont="1" applyBorder="1" applyProtection="1">
      <protection hidden="1"/>
    </xf>
    <xf numFmtId="0" fontId="87" fillId="0" borderId="5" xfId="0" applyFont="1" applyBorder="1" applyAlignment="1" applyProtection="1">
      <alignment horizontal="left" vertical="center"/>
      <protection hidden="1"/>
    </xf>
    <xf numFmtId="1" fontId="87" fillId="0" borderId="4" xfId="0" applyNumberFormat="1" applyFont="1" applyBorder="1" applyAlignment="1" applyProtection="1">
      <alignment horizontal="center" vertical="center" shrinkToFit="1"/>
      <protection hidden="1"/>
    </xf>
    <xf numFmtId="0" fontId="19" fillId="0" borderId="5" xfId="0" applyFont="1" applyBorder="1" applyAlignment="1" applyProtection="1">
      <alignment horizontal="left" vertical="center"/>
      <protection hidden="1"/>
    </xf>
    <xf numFmtId="1" fontId="19" fillId="0" borderId="5" xfId="0" applyNumberFormat="1" applyFont="1" applyBorder="1" applyAlignment="1" applyProtection="1">
      <alignment vertical="center"/>
      <protection hidden="1"/>
    </xf>
    <xf numFmtId="0" fontId="10" fillId="0" borderId="5" xfId="0" applyFont="1" applyBorder="1" applyAlignment="1" applyProtection="1">
      <alignment vertical="center" shrinkToFit="1"/>
      <protection hidden="1"/>
    </xf>
    <xf numFmtId="1" fontId="87" fillId="0" borderId="1" xfId="0" applyNumberFormat="1" applyFont="1" applyBorder="1" applyAlignment="1">
      <alignment horizontal="center" vertical="center" shrinkToFit="1"/>
    </xf>
    <xf numFmtId="1" fontId="10" fillId="0" borderId="1" xfId="0" applyNumberFormat="1" applyFont="1" applyBorder="1" applyAlignment="1" applyProtection="1">
      <alignment horizontal="center" vertical="center" shrinkToFit="1"/>
      <protection hidden="1"/>
    </xf>
    <xf numFmtId="0" fontId="187" fillId="16" borderId="23" xfId="0" applyFont="1" applyFill="1" applyBorder="1" applyAlignment="1" applyProtection="1">
      <alignment vertical="center" wrapText="1"/>
      <protection hidden="1"/>
    </xf>
    <xf numFmtId="0" fontId="187" fillId="16" borderId="23" xfId="0" applyFont="1" applyFill="1" applyBorder="1" applyAlignment="1" applyProtection="1">
      <alignment horizontal="center" vertical="center" wrapText="1"/>
      <protection hidden="1"/>
    </xf>
    <xf numFmtId="0" fontId="3" fillId="0" borderId="26" xfId="0" applyFont="1" applyBorder="1"/>
    <xf numFmtId="0" fontId="19" fillId="0" borderId="1" xfId="0" applyFont="1" applyBorder="1" applyAlignment="1" applyProtection="1">
      <alignment vertical="center" shrinkToFit="1"/>
      <protection hidden="1"/>
    </xf>
    <xf numFmtId="9" fontId="19" fillId="0" borderId="1" xfId="0" applyNumberFormat="1" applyFont="1" applyBorder="1" applyAlignment="1" applyProtection="1">
      <alignment vertical="center" shrinkToFit="1"/>
      <protection hidden="1"/>
    </xf>
    <xf numFmtId="0" fontId="3" fillId="0" borderId="1" xfId="0" applyFont="1" applyBorder="1" applyAlignment="1" applyProtection="1">
      <alignment horizontal="right" vertical="center" shrinkToFit="1"/>
      <protection hidden="1"/>
    </xf>
    <xf numFmtId="164" fontId="19" fillId="0" borderId="1" xfId="0" applyNumberFormat="1" applyFont="1" applyBorder="1" applyAlignment="1" applyProtection="1">
      <alignment horizontal="right" vertical="center" shrinkToFit="1"/>
      <protection hidden="1"/>
    </xf>
    <xf numFmtId="9" fontId="3" fillId="0" borderId="1" xfId="0" applyNumberFormat="1" applyFont="1" applyBorder="1" applyAlignment="1" applyProtection="1">
      <alignment horizontal="right" vertical="center" shrinkToFit="1"/>
      <protection hidden="1"/>
    </xf>
    <xf numFmtId="164" fontId="3" fillId="0" borderId="1" xfId="0" applyNumberFormat="1" applyFont="1" applyBorder="1" applyAlignment="1" applyProtection="1">
      <alignment horizontal="right" vertical="center" shrinkToFit="1"/>
      <protection hidden="1"/>
    </xf>
    <xf numFmtId="0" fontId="10" fillId="0" borderId="6" xfId="0" applyFont="1" applyBorder="1" applyAlignment="1" applyProtection="1">
      <alignment horizontal="left" vertical="center"/>
      <protection hidden="1"/>
    </xf>
    <xf numFmtId="3" fontId="19" fillId="0" borderId="1" xfId="0" applyNumberFormat="1" applyFont="1" applyBorder="1" applyAlignment="1" applyProtection="1">
      <alignment vertical="center"/>
      <protection hidden="1"/>
    </xf>
    <xf numFmtId="17" fontId="19" fillId="0" borderId="2" xfId="0" applyNumberFormat="1" applyFont="1" applyBorder="1" applyAlignment="1" applyProtection="1">
      <alignment vertical="center" shrinkToFit="1"/>
      <protection hidden="1"/>
    </xf>
    <xf numFmtId="41" fontId="3" fillId="0" borderId="2" xfId="0" applyNumberFormat="1" applyFont="1" applyBorder="1" applyAlignment="1" applyProtection="1">
      <alignment vertical="center" shrinkToFit="1"/>
      <protection hidden="1"/>
    </xf>
    <xf numFmtId="17" fontId="19" fillId="0" borderId="1" xfId="0" applyNumberFormat="1" applyFont="1" applyBorder="1" applyAlignment="1" applyProtection="1">
      <alignment vertical="center" shrinkToFit="1"/>
      <protection hidden="1"/>
    </xf>
    <xf numFmtId="41" fontId="3" fillId="0" borderId="13" xfId="0" applyNumberFormat="1" applyFont="1" applyBorder="1" applyAlignment="1" applyProtection="1">
      <alignment vertical="center" shrinkToFit="1"/>
      <protection hidden="1"/>
    </xf>
    <xf numFmtId="17" fontId="19" fillId="0" borderId="13" xfId="0" applyNumberFormat="1" applyFont="1" applyBorder="1" applyAlignment="1" applyProtection="1">
      <alignment vertical="center" shrinkToFit="1"/>
      <protection hidden="1"/>
    </xf>
    <xf numFmtId="41" fontId="3" fillId="0" borderId="22" xfId="0" applyNumberFormat="1" applyFont="1" applyBorder="1" applyAlignment="1" applyProtection="1">
      <alignment vertical="center" shrinkToFit="1"/>
      <protection hidden="1"/>
    </xf>
    <xf numFmtId="17" fontId="19" fillId="0" borderId="22" xfId="0" applyNumberFormat="1" applyFont="1" applyBorder="1" applyAlignment="1" applyProtection="1">
      <alignment vertical="center" shrinkToFit="1"/>
      <protection hidden="1"/>
    </xf>
    <xf numFmtId="1" fontId="10" fillId="0" borderId="2" xfId="0" applyNumberFormat="1" applyFont="1" applyBorder="1" applyAlignment="1" applyProtection="1">
      <alignment horizontal="center" vertical="center" shrinkToFit="1"/>
      <protection hidden="1"/>
    </xf>
    <xf numFmtId="0" fontId="3" fillId="0" borderId="6" xfId="0" applyFont="1" applyBorder="1"/>
    <xf numFmtId="41" fontId="10" fillId="0" borderId="2" xfId="0" applyNumberFormat="1" applyFont="1" applyBorder="1" applyAlignment="1" applyProtection="1">
      <alignment vertical="center" shrinkToFit="1"/>
      <protection hidden="1"/>
    </xf>
    <xf numFmtId="1" fontId="87" fillId="0" borderId="13" xfId="0" applyNumberFormat="1" applyFont="1" applyBorder="1" applyAlignment="1" applyProtection="1">
      <alignment horizontal="center" vertical="center" shrinkToFit="1"/>
      <protection hidden="1"/>
    </xf>
    <xf numFmtId="0" fontId="87" fillId="0" borderId="1" xfId="0" applyFont="1" applyBorder="1" applyAlignment="1" applyProtection="1">
      <alignment horizontal="left" vertical="center"/>
      <protection hidden="1"/>
    </xf>
    <xf numFmtId="1" fontId="108" fillId="0" borderId="5" xfId="0" applyNumberFormat="1" applyFont="1" applyBorder="1" applyAlignment="1" applyProtection="1">
      <alignment vertical="center"/>
      <protection hidden="1"/>
    </xf>
    <xf numFmtId="0" fontId="87" fillId="0" borderId="1" xfId="0" applyFont="1" applyBorder="1" applyAlignment="1" applyProtection="1">
      <alignment horizontal="center" vertical="center"/>
      <protection hidden="1"/>
    </xf>
    <xf numFmtId="41" fontId="87" fillId="0" borderId="19" xfId="0" applyNumberFormat="1" applyFont="1" applyBorder="1" applyAlignment="1" applyProtection="1">
      <alignment horizontal="left" vertical="center" shrinkToFit="1"/>
      <protection hidden="1"/>
    </xf>
    <xf numFmtId="41" fontId="87" fillId="0" borderId="3" xfId="0" applyNumberFormat="1" applyFont="1" applyBorder="1"/>
    <xf numFmtId="0" fontId="87" fillId="0" borderId="5" xfId="0" applyFont="1" applyBorder="1" applyAlignment="1" applyProtection="1">
      <alignment vertical="center"/>
      <protection hidden="1"/>
    </xf>
    <xf numFmtId="0" fontId="87" fillId="0" borderId="1" xfId="0" applyFont="1" applyBorder="1" applyAlignment="1" applyProtection="1">
      <alignment horizontal="center" vertical="center" wrapText="1" shrinkToFit="1"/>
      <protection hidden="1"/>
    </xf>
    <xf numFmtId="0" fontId="10" fillId="0" borderId="1" xfId="0" applyFont="1" applyBorder="1" applyAlignment="1" applyProtection="1">
      <alignment horizontal="center" vertical="top" wrapText="1" shrinkToFit="1"/>
      <protection hidden="1"/>
    </xf>
    <xf numFmtId="41" fontId="87" fillId="0" borderId="1" xfId="0" applyNumberFormat="1" applyFont="1" applyBorder="1" applyAlignment="1" applyProtection="1">
      <alignment horizontal="center" vertical="center" wrapText="1" shrinkToFit="1"/>
      <protection hidden="1"/>
    </xf>
    <xf numFmtId="41" fontId="87" fillId="0" borderId="1" xfId="0" applyNumberFormat="1" applyFont="1" applyBorder="1" applyProtection="1">
      <protection hidden="1"/>
    </xf>
    <xf numFmtId="41" fontId="6" fillId="0" borderId="1" xfId="0" applyNumberFormat="1" applyFont="1" applyBorder="1" applyAlignment="1" applyProtection="1">
      <alignment vertical="center" shrinkToFit="1"/>
      <protection hidden="1"/>
    </xf>
    <xf numFmtId="164" fontId="87" fillId="0" borderId="2" xfId="0" applyNumberFormat="1" applyFont="1" applyBorder="1" applyAlignment="1" applyProtection="1">
      <alignment horizontal="right" vertical="center" shrinkToFit="1"/>
      <protection hidden="1"/>
    </xf>
    <xf numFmtId="0" fontId="87" fillId="16" borderId="5" xfId="0" applyFont="1" applyFill="1" applyBorder="1"/>
    <xf numFmtId="0" fontId="21" fillId="0" borderId="0" xfId="0" applyFont="1" applyAlignment="1" applyProtection="1">
      <alignment horizontal="right"/>
      <protection hidden="1"/>
    </xf>
    <xf numFmtId="0" fontId="21" fillId="0" borderId="0" xfId="0" applyFont="1" applyAlignment="1" applyProtection="1">
      <alignment vertical="top"/>
      <protection hidden="1"/>
    </xf>
    <xf numFmtId="0" fontId="26" fillId="0" borderId="0" xfId="0" applyFont="1" applyAlignment="1" applyProtection="1">
      <alignment horizontal="center" vertical="center" shrinkToFit="1"/>
      <protection hidden="1"/>
    </xf>
    <xf numFmtId="1" fontId="27" fillId="0" borderId="0" xfId="0" applyNumberFormat="1" applyFont="1" applyAlignment="1" applyProtection="1">
      <alignment horizontal="center" vertical="center" shrinkToFit="1"/>
      <protection hidden="1"/>
    </xf>
    <xf numFmtId="41" fontId="23" fillId="0" borderId="0" xfId="0" applyNumberFormat="1" applyFont="1" applyAlignment="1" applyProtection="1">
      <alignment vertical="center" shrinkToFit="1"/>
      <protection hidden="1"/>
    </xf>
    <xf numFmtId="41" fontId="26" fillId="0" borderId="0" xfId="0" applyNumberFormat="1" applyFont="1" applyAlignment="1">
      <alignment horizontal="center" vertical="center" shrinkToFit="1"/>
    </xf>
    <xf numFmtId="41" fontId="28" fillId="0" borderId="0" xfId="0" applyNumberFormat="1" applyFont="1" applyAlignment="1">
      <alignment horizontal="center" vertical="center" shrinkToFit="1"/>
    </xf>
    <xf numFmtId="41" fontId="26" fillId="0" borderId="0" xfId="0" applyNumberFormat="1" applyFont="1" applyAlignment="1">
      <alignment vertical="center" shrinkToFit="1"/>
    </xf>
    <xf numFmtId="41" fontId="28" fillId="0" borderId="0" xfId="0" applyNumberFormat="1" applyFont="1" applyAlignment="1">
      <alignment vertical="center" shrinkToFit="1"/>
    </xf>
    <xf numFmtId="41" fontId="23" fillId="0" borderId="0" xfId="0" applyNumberFormat="1" applyFont="1" applyAlignment="1" applyProtection="1">
      <alignment horizontal="left" vertical="center" shrinkToFit="1"/>
      <protection hidden="1"/>
    </xf>
    <xf numFmtId="41" fontId="34" fillId="0" borderId="0" xfId="0" applyNumberFormat="1" applyFont="1" applyAlignment="1" applyProtection="1">
      <alignment horizontal="center" vertical="center" wrapText="1" shrinkToFit="1"/>
      <protection hidden="1"/>
    </xf>
    <xf numFmtId="41" fontId="21" fillId="0" borderId="0" xfId="0" applyNumberFormat="1" applyFont="1" applyAlignment="1" applyProtection="1">
      <alignment horizontal="center" vertical="center" shrinkToFit="1"/>
      <protection hidden="1"/>
    </xf>
    <xf numFmtId="41" fontId="21" fillId="0" borderId="0" xfId="0" applyNumberFormat="1" applyFont="1" applyAlignment="1" applyProtection="1">
      <alignment vertical="center" shrinkToFit="1"/>
      <protection hidden="1"/>
    </xf>
    <xf numFmtId="41" fontId="36" fillId="0" borderId="0" xfId="0" applyNumberFormat="1" applyFont="1" applyAlignment="1" applyProtection="1">
      <alignment vertical="center" shrinkToFit="1"/>
      <protection hidden="1"/>
    </xf>
    <xf numFmtId="41" fontId="23" fillId="0" borderId="0" xfId="0" applyNumberFormat="1" applyFont="1" applyAlignment="1" applyProtection="1">
      <alignment horizontal="center" vertical="center" shrinkToFit="1"/>
      <protection hidden="1"/>
    </xf>
    <xf numFmtId="0" fontId="40" fillId="0" borderId="0" xfId="0" applyFont="1" applyAlignment="1" applyProtection="1">
      <alignment horizontal="center"/>
      <protection hidden="1"/>
    </xf>
    <xf numFmtId="0" fontId="5" fillId="0" borderId="1" xfId="0" applyFont="1" applyBorder="1" applyAlignment="1" applyProtection="1">
      <alignment vertical="center"/>
      <protection hidden="1"/>
    </xf>
    <xf numFmtId="41" fontId="66" fillId="0" borderId="1" xfId="0" applyNumberFormat="1" applyFont="1" applyBorder="1" applyAlignment="1" applyProtection="1">
      <alignment vertical="center" shrinkToFit="1"/>
      <protection hidden="1"/>
    </xf>
    <xf numFmtId="9" fontId="5" fillId="0" borderId="1" xfId="0" applyNumberFormat="1" applyFont="1" applyBorder="1" applyAlignment="1" applyProtection="1">
      <alignment vertical="center"/>
      <protection hidden="1"/>
    </xf>
    <xf numFmtId="41" fontId="87" fillId="0" borderId="17" xfId="0" applyNumberFormat="1" applyFont="1" applyBorder="1" applyAlignment="1" applyProtection="1">
      <alignment vertical="center" shrinkToFit="1"/>
      <protection hidden="1"/>
    </xf>
    <xf numFmtId="0" fontId="3" fillId="0" borderId="0" xfId="0" applyFont="1"/>
    <xf numFmtId="41" fontId="10" fillId="0" borderId="172" xfId="0" applyNumberFormat="1" applyFont="1" applyBorder="1" applyAlignment="1" applyProtection="1">
      <alignment vertical="center" shrinkToFit="1"/>
      <protection hidden="1"/>
    </xf>
    <xf numFmtId="0" fontId="3" fillId="0" borderId="22" xfId="0" applyFont="1" applyBorder="1"/>
    <xf numFmtId="41" fontId="10" fillId="0" borderId="1" xfId="0" applyNumberFormat="1" applyFont="1" applyBorder="1" applyAlignment="1" applyProtection="1">
      <alignment horizontal="left" vertical="center" shrinkToFit="1"/>
      <protection locked="0"/>
    </xf>
    <xf numFmtId="0" fontId="0" fillId="12" borderId="6" xfId="0" applyFill="1" applyBorder="1"/>
    <xf numFmtId="0" fontId="0" fillId="12" borderId="26" xfId="0" applyFill="1" applyBorder="1"/>
    <xf numFmtId="0" fontId="3" fillId="0" borderId="16" xfId="0" applyFont="1" applyBorder="1"/>
    <xf numFmtId="0" fontId="10" fillId="0" borderId="12" xfId="0" applyFont="1" applyBorder="1" applyProtection="1">
      <protection hidden="1"/>
    </xf>
    <xf numFmtId="0" fontId="10" fillId="0" borderId="17" xfId="0" applyFont="1" applyBorder="1" applyAlignment="1" applyProtection="1">
      <alignment horizontal="right"/>
      <protection hidden="1"/>
    </xf>
    <xf numFmtId="0" fontId="87" fillId="0" borderId="3" xfId="0" applyFont="1" applyBorder="1" applyAlignment="1" applyProtection="1">
      <alignment horizontal="center" vertical="center"/>
      <protection hidden="1"/>
    </xf>
    <xf numFmtId="0" fontId="190" fillId="0" borderId="23" xfId="0" applyFont="1" applyBorder="1" applyAlignment="1" applyProtection="1">
      <alignment vertical="center" wrapText="1"/>
      <protection hidden="1"/>
    </xf>
    <xf numFmtId="0" fontId="191" fillId="0" borderId="23" xfId="0" applyFont="1" applyBorder="1" applyAlignment="1" applyProtection="1">
      <alignment horizontal="center" vertical="center" wrapText="1"/>
      <protection hidden="1"/>
    </xf>
    <xf numFmtId="0" fontId="191" fillId="0" borderId="16" xfId="0" applyFont="1" applyBorder="1" applyAlignment="1" applyProtection="1">
      <alignment horizontal="center" vertical="center" wrapText="1"/>
      <protection hidden="1"/>
    </xf>
    <xf numFmtId="49" fontId="10" fillId="0" borderId="2" xfId="0" applyNumberFormat="1" applyFont="1" applyBorder="1" applyAlignment="1" applyProtection="1">
      <alignment horizontal="left" vertical="center"/>
      <protection hidden="1"/>
    </xf>
    <xf numFmtId="49" fontId="16" fillId="0" borderId="1" xfId="0" applyNumberFormat="1" applyFont="1" applyBorder="1" applyAlignment="1" applyProtection="1">
      <alignment horizontal="center" vertical="center"/>
      <protection hidden="1"/>
    </xf>
    <xf numFmtId="9" fontId="2" fillId="0" borderId="1" xfId="0" applyNumberFormat="1" applyFont="1" applyBorder="1" applyAlignment="1" applyProtection="1">
      <alignment horizontal="right" vertical="center" shrinkToFit="1"/>
      <protection hidden="1"/>
    </xf>
    <xf numFmtId="1" fontId="0" fillId="23" borderId="10" xfId="0" applyNumberFormat="1" applyFill="1" applyBorder="1" applyAlignment="1">
      <alignment horizontal="center" vertical="center"/>
    </xf>
    <xf numFmtId="0" fontId="0" fillId="23" borderId="3" xfId="0" applyFill="1" applyBorder="1" applyAlignment="1">
      <alignment horizontal="center" vertical="center"/>
    </xf>
    <xf numFmtId="0" fontId="0" fillId="12" borderId="0" xfId="0" applyFill="1" applyAlignment="1">
      <alignment horizontal="center" vertical="center"/>
    </xf>
    <xf numFmtId="41" fontId="0" fillId="0" borderId="0" xfId="0" applyNumberFormat="1" applyAlignment="1">
      <alignment horizontal="center" vertical="center"/>
    </xf>
    <xf numFmtId="41" fontId="0" fillId="0" borderId="2" xfId="0" applyNumberFormat="1" applyBorder="1" applyAlignment="1">
      <alignment horizontal="center" vertical="center"/>
    </xf>
    <xf numFmtId="0" fontId="0" fillId="0" borderId="10" xfId="0" applyBorder="1" applyAlignment="1">
      <alignment horizontal="center" vertical="center"/>
    </xf>
    <xf numFmtId="0" fontId="0" fillId="0" borderId="11" xfId="0" applyBorder="1" applyAlignment="1">
      <alignment horizontal="center" vertical="center"/>
    </xf>
    <xf numFmtId="0" fontId="0" fillId="0" borderId="27" xfId="0" applyBorder="1" applyAlignment="1">
      <alignment horizontal="center" vertical="center"/>
    </xf>
    <xf numFmtId="0" fontId="62" fillId="0" borderId="10" xfId="0" applyFont="1" applyBorder="1" applyAlignment="1">
      <alignment horizontal="center" vertical="center"/>
    </xf>
    <xf numFmtId="0" fontId="62" fillId="0" borderId="11" xfId="0" applyFont="1" applyBorder="1" applyAlignment="1">
      <alignment horizontal="center" vertical="center"/>
    </xf>
    <xf numFmtId="0" fontId="0" fillId="0" borderId="3" xfId="0" applyBorder="1" applyAlignment="1">
      <alignment horizontal="center" vertical="center"/>
    </xf>
    <xf numFmtId="0" fontId="0" fillId="8" borderId="1" xfId="0" applyFill="1" applyBorder="1" applyAlignment="1">
      <alignment horizontal="center" vertical="center"/>
    </xf>
    <xf numFmtId="0" fontId="0" fillId="27" borderId="0" xfId="0" applyFill="1" applyAlignment="1">
      <alignment wrapText="1"/>
    </xf>
    <xf numFmtId="0" fontId="0" fillId="0" borderId="16" xfId="0" applyBorder="1" applyAlignment="1">
      <alignment vertical="center" wrapText="1"/>
    </xf>
    <xf numFmtId="0" fontId="0" fillId="0" borderId="12" xfId="0" applyBorder="1" applyAlignment="1">
      <alignment vertical="center" wrapText="1"/>
    </xf>
    <xf numFmtId="0" fontId="0" fillId="0" borderId="17" xfId="0" applyBorder="1" applyAlignment="1">
      <alignment vertical="center" wrapText="1"/>
    </xf>
    <xf numFmtId="0" fontId="16" fillId="30" borderId="1" xfId="0" applyFont="1" applyFill="1" applyBorder="1" applyAlignment="1">
      <alignment horizontal="center" vertical="center"/>
    </xf>
    <xf numFmtId="0" fontId="20" fillId="30" borderId="1" xfId="0" applyFont="1" applyFill="1" applyBorder="1" applyAlignment="1" applyProtection="1">
      <alignment horizontal="center" vertical="center"/>
      <protection hidden="1"/>
    </xf>
    <xf numFmtId="1" fontId="104" fillId="0" borderId="1" xfId="0" applyNumberFormat="1" applyFont="1" applyBorder="1" applyAlignment="1" applyProtection="1">
      <alignment horizontal="center" vertical="center" shrinkToFit="1"/>
      <protection locked="0"/>
    </xf>
    <xf numFmtId="0" fontId="124" fillId="7" borderId="1" xfId="0" applyFont="1" applyFill="1" applyBorder="1" applyAlignment="1" applyProtection="1">
      <alignment horizontal="center" vertical="center" shrinkToFit="1"/>
      <protection locked="0"/>
    </xf>
    <xf numFmtId="0" fontId="26" fillId="0" borderId="17" xfId="0" applyFont="1" applyBorder="1" applyAlignment="1" applyProtection="1">
      <alignment horizontal="center" vertical="center" shrinkToFit="1"/>
      <protection hidden="1"/>
    </xf>
    <xf numFmtId="0" fontId="55" fillId="0" borderId="15" xfId="0" applyFont="1" applyBorder="1" applyAlignment="1" applyProtection="1">
      <alignment horizontal="center" vertical="center" shrinkToFit="1"/>
      <protection hidden="1"/>
    </xf>
    <xf numFmtId="0" fontId="193" fillId="20" borderId="76" xfId="0" applyFont="1" applyFill="1" applyBorder="1" applyAlignment="1" applyProtection="1">
      <alignment vertical="center"/>
      <protection hidden="1"/>
    </xf>
    <xf numFmtId="0" fontId="194" fillId="20" borderId="77" xfId="0" applyFont="1" applyFill="1" applyBorder="1" applyAlignment="1">
      <alignment vertical="center"/>
    </xf>
    <xf numFmtId="164" fontId="0" fillId="0" borderId="1" xfId="0" applyNumberFormat="1" applyBorder="1" applyAlignment="1" applyProtection="1">
      <alignment horizontal="center" vertical="center" shrinkToFit="1"/>
      <protection hidden="1"/>
    </xf>
    <xf numFmtId="1" fontId="0" fillId="0" borderId="1" xfId="0" applyNumberFormat="1" applyBorder="1" applyAlignment="1" applyProtection="1">
      <alignment horizontal="center" vertical="center" shrinkToFit="1"/>
      <protection hidden="1"/>
    </xf>
    <xf numFmtId="1" fontId="0" fillId="0" borderId="1" xfId="0" applyNumberFormat="1" applyBorder="1" applyAlignment="1" applyProtection="1">
      <alignment vertical="center" shrinkToFit="1"/>
      <protection hidden="1"/>
    </xf>
    <xf numFmtId="0" fontId="87" fillId="0" borderId="12" xfId="0" applyFont="1" applyBorder="1" applyAlignment="1" applyProtection="1">
      <alignment vertical="center"/>
      <protection hidden="1"/>
    </xf>
    <xf numFmtId="0" fontId="3" fillId="0" borderId="12" xfId="0" applyFont="1" applyBorder="1" applyProtection="1">
      <protection hidden="1"/>
    </xf>
    <xf numFmtId="0" fontId="87" fillId="0" borderId="14" xfId="0" applyFont="1" applyBorder="1" applyProtection="1">
      <protection hidden="1"/>
    </xf>
    <xf numFmtId="0" fontId="3" fillId="0" borderId="14" xfId="0" applyFont="1" applyBorder="1" applyProtection="1">
      <protection hidden="1"/>
    </xf>
    <xf numFmtId="0" fontId="87" fillId="0" borderId="160" xfId="0" applyFont="1" applyBorder="1" applyProtection="1">
      <protection hidden="1"/>
    </xf>
    <xf numFmtId="0" fontId="87" fillId="0" borderId="18" xfId="0" applyFont="1" applyBorder="1" applyProtection="1">
      <protection hidden="1"/>
    </xf>
    <xf numFmtId="0" fontId="3" fillId="0" borderId="169" xfId="0" applyFont="1" applyBorder="1" applyAlignment="1" applyProtection="1">
      <alignment horizontal="center" vertical="center"/>
      <protection hidden="1"/>
    </xf>
    <xf numFmtId="0" fontId="87" fillId="0" borderId="161" xfId="0" applyFont="1" applyBorder="1" applyProtection="1">
      <protection hidden="1"/>
    </xf>
    <xf numFmtId="0" fontId="87" fillId="0" borderId="170" xfId="0" applyFont="1" applyBorder="1" applyProtection="1">
      <protection hidden="1"/>
    </xf>
    <xf numFmtId="0" fontId="87" fillId="0" borderId="3" xfId="0" applyFont="1" applyBorder="1" applyProtection="1">
      <protection hidden="1"/>
    </xf>
    <xf numFmtId="0" fontId="3" fillId="0" borderId="171" xfId="0" applyFont="1" applyBorder="1" applyAlignment="1" applyProtection="1">
      <alignment horizontal="center" vertical="center"/>
      <protection hidden="1"/>
    </xf>
    <xf numFmtId="0" fontId="87" fillId="0" borderId="5" xfId="0" applyFont="1" applyBorder="1" applyProtection="1">
      <protection hidden="1"/>
    </xf>
    <xf numFmtId="0" fontId="87" fillId="0" borderId="2" xfId="0" applyFont="1" applyBorder="1" applyProtection="1">
      <protection hidden="1"/>
    </xf>
    <xf numFmtId="0" fontId="95" fillId="0" borderId="5" xfId="0" applyFont="1" applyBorder="1" applyProtection="1">
      <protection hidden="1"/>
    </xf>
    <xf numFmtId="0" fontId="87" fillId="0" borderId="5" xfId="0" applyFont="1" applyBorder="1" applyAlignment="1" applyProtection="1">
      <alignment horizontal="center" vertical="center"/>
      <protection hidden="1"/>
    </xf>
    <xf numFmtId="0" fontId="1" fillId="0" borderId="5" xfId="0" applyFont="1" applyBorder="1" applyProtection="1">
      <protection hidden="1"/>
    </xf>
    <xf numFmtId="0" fontId="87" fillId="0" borderId="1" xfId="0" applyFont="1" applyBorder="1" applyAlignment="1" applyProtection="1">
      <alignment vertical="center"/>
      <protection hidden="1"/>
    </xf>
    <xf numFmtId="0" fontId="5" fillId="0" borderId="5" xfId="0" applyFont="1" applyBorder="1" applyProtection="1">
      <protection hidden="1"/>
    </xf>
    <xf numFmtId="0" fontId="3" fillId="16" borderId="0" xfId="0" applyFont="1" applyFill="1" applyProtection="1">
      <protection hidden="1"/>
    </xf>
    <xf numFmtId="0" fontId="87" fillId="16" borderId="0" xfId="0" applyFont="1" applyFill="1" applyProtection="1">
      <protection hidden="1"/>
    </xf>
    <xf numFmtId="0" fontId="3" fillId="0" borderId="0" xfId="0" applyFont="1" applyProtection="1">
      <protection hidden="1"/>
    </xf>
    <xf numFmtId="0" fontId="3" fillId="0" borderId="3" xfId="0" applyFont="1" applyBorder="1" applyProtection="1">
      <protection hidden="1"/>
    </xf>
    <xf numFmtId="0" fontId="13" fillId="7" borderId="23" xfId="2" applyFont="1" applyFill="1" applyBorder="1" applyAlignment="1" applyProtection="1">
      <alignment horizontal="center" vertical="center"/>
      <protection locked="0"/>
    </xf>
    <xf numFmtId="165" fontId="108" fillId="9" borderId="0" xfId="1" applyNumberFormat="1" applyFont="1" applyFill="1" applyBorder="1" applyAlignment="1" applyProtection="1">
      <alignment horizontal="center" vertical="center"/>
      <protection hidden="1"/>
    </xf>
    <xf numFmtId="0" fontId="5" fillId="9" borderId="0" xfId="0" applyFont="1" applyFill="1"/>
    <xf numFmtId="0" fontId="185" fillId="7" borderId="1" xfId="0" applyFont="1" applyFill="1" applyBorder="1" applyAlignment="1" applyProtection="1">
      <alignment horizontal="center" vertical="center" wrapText="1"/>
      <protection locked="0"/>
    </xf>
    <xf numFmtId="0" fontId="185" fillId="7" borderId="2" xfId="0" applyFont="1" applyFill="1" applyBorder="1" applyAlignment="1" applyProtection="1">
      <alignment horizontal="center" vertical="center" wrapText="1"/>
      <protection locked="0"/>
    </xf>
    <xf numFmtId="0" fontId="5" fillId="0" borderId="1" xfId="0" applyFont="1" applyBorder="1" applyAlignment="1">
      <alignment horizontal="center" vertical="center" wrapText="1"/>
    </xf>
    <xf numFmtId="41" fontId="0" fillId="0" borderId="1" xfId="0" applyNumberFormat="1" applyBorder="1" applyAlignment="1">
      <alignment horizontal="center" vertical="center"/>
    </xf>
    <xf numFmtId="0" fontId="20" fillId="7" borderId="85" xfId="0" applyFont="1" applyFill="1" applyBorder="1" applyAlignment="1" applyProtection="1">
      <alignment horizontal="center" vertical="center"/>
      <protection hidden="1"/>
    </xf>
    <xf numFmtId="0" fontId="195" fillId="12" borderId="0" xfId="0" applyFont="1" applyFill="1"/>
    <xf numFmtId="0" fontId="197" fillId="12" borderId="1" xfId="0" applyFont="1" applyFill="1" applyBorder="1" applyAlignment="1">
      <alignment vertical="center"/>
    </xf>
    <xf numFmtId="0" fontId="198" fillId="12" borderId="1" xfId="0" applyFont="1" applyFill="1" applyBorder="1"/>
    <xf numFmtId="0" fontId="198" fillId="12" borderId="1" xfId="0" applyFont="1" applyFill="1" applyBorder="1" applyAlignment="1">
      <alignment vertical="center"/>
    </xf>
    <xf numFmtId="0" fontId="198" fillId="12" borderId="0" xfId="0" applyFont="1" applyFill="1"/>
    <xf numFmtId="0" fontId="198" fillId="12" borderId="1" xfId="0" applyFont="1" applyFill="1" applyBorder="1" applyAlignment="1">
      <alignment horizontal="center" vertical="center"/>
    </xf>
    <xf numFmtId="0" fontId="198" fillId="12" borderId="1" xfId="0" applyFont="1" applyFill="1" applyBorder="1" applyAlignment="1">
      <alignment horizontal="left" vertical="center"/>
    </xf>
    <xf numFmtId="0" fontId="198" fillId="12" borderId="0" xfId="0" applyFont="1" applyFill="1" applyAlignment="1">
      <alignment horizontal="center" vertical="center"/>
    </xf>
    <xf numFmtId="0" fontId="198" fillId="12" borderId="0" xfId="0" applyFont="1" applyFill="1" applyAlignment="1">
      <alignment horizontal="right"/>
    </xf>
    <xf numFmtId="0" fontId="198" fillId="12" borderId="0" xfId="0" applyFont="1" applyFill="1" applyAlignment="1">
      <alignment horizontal="right" vertical="center"/>
    </xf>
    <xf numFmtId="164" fontId="86" fillId="12" borderId="80" xfId="0" applyNumberFormat="1" applyFont="1" applyFill="1" applyBorder="1" applyAlignment="1">
      <alignment horizontal="center" vertical="center"/>
    </xf>
    <xf numFmtId="0" fontId="86" fillId="12" borderId="74" xfId="0" applyFont="1" applyFill="1" applyBorder="1" applyAlignment="1">
      <alignment horizontal="center" vertical="center"/>
    </xf>
    <xf numFmtId="0" fontId="199" fillId="16" borderId="1" xfId="2" applyFont="1" applyFill="1" applyBorder="1" applyAlignment="1" applyProtection="1">
      <alignment horizontal="center" vertical="center" wrapText="1" shrinkToFit="1"/>
      <protection locked="0"/>
    </xf>
    <xf numFmtId="0" fontId="170" fillId="19" borderId="2" xfId="0" applyFont="1" applyFill="1" applyBorder="1" applyAlignment="1" applyProtection="1">
      <alignment horizontal="center" vertical="top" wrapText="1" shrinkToFit="1"/>
      <protection hidden="1"/>
    </xf>
    <xf numFmtId="0" fontId="59" fillId="7" borderId="1" xfId="0" applyFont="1" applyFill="1" applyBorder="1" applyAlignment="1">
      <alignment horizontal="center" vertical="center" wrapText="1"/>
    </xf>
    <xf numFmtId="0" fontId="0" fillId="0" borderId="1" xfId="0" applyBorder="1" applyAlignment="1" applyProtection="1">
      <alignment horizontal="center" vertical="center"/>
      <protection locked="0"/>
    </xf>
    <xf numFmtId="0" fontId="129" fillId="12" borderId="119" xfId="0" applyFont="1" applyFill="1" applyBorder="1" applyAlignment="1">
      <alignment horizontal="left" vertical="center"/>
    </xf>
    <xf numFmtId="0" fontId="0" fillId="0" borderId="1" xfId="0" applyBorder="1" applyAlignment="1" applyProtection="1">
      <alignment horizontal="center" vertical="center" shrinkToFit="1"/>
      <protection locked="0"/>
    </xf>
    <xf numFmtId="0" fontId="139" fillId="16" borderId="1" xfId="2" applyFont="1" applyFill="1" applyBorder="1" applyAlignment="1" applyProtection="1">
      <alignment horizontal="center" vertical="center" shrinkToFit="1"/>
      <protection hidden="1"/>
    </xf>
    <xf numFmtId="0" fontId="96" fillId="0" borderId="1" xfId="2" applyFont="1" applyBorder="1" applyAlignment="1" applyProtection="1">
      <alignment horizontal="center" vertical="center" shrinkToFit="1"/>
      <protection locked="0"/>
    </xf>
    <xf numFmtId="0" fontId="0" fillId="26" borderId="16" xfId="0" applyFill="1" applyBorder="1" applyAlignment="1">
      <alignment horizontal="center" vertical="center"/>
    </xf>
    <xf numFmtId="0" fontId="0" fillId="26" borderId="12" xfId="0" applyFill="1" applyBorder="1" applyAlignment="1">
      <alignment horizontal="center" vertical="center"/>
    </xf>
    <xf numFmtId="0" fontId="0" fillId="26" borderId="17" xfId="0" applyFill="1" applyBorder="1" applyAlignment="1">
      <alignment horizontal="center" vertical="center"/>
    </xf>
    <xf numFmtId="0" fontId="197" fillId="12" borderId="1" xfId="0" applyFont="1" applyFill="1" applyBorder="1" applyAlignment="1">
      <alignment horizontal="center" vertical="center"/>
    </xf>
    <xf numFmtId="0" fontId="197" fillId="12" borderId="1" xfId="0" applyFont="1" applyFill="1" applyBorder="1" applyAlignment="1" applyProtection="1">
      <alignment horizontal="center" vertical="center" wrapText="1"/>
      <protection hidden="1"/>
    </xf>
    <xf numFmtId="0" fontId="69" fillId="17" borderId="0" xfId="0" applyFont="1" applyFill="1" applyAlignment="1">
      <alignment horizontal="center" vertical="center"/>
    </xf>
    <xf numFmtId="0" fontId="10" fillId="0" borderId="1" xfId="0" applyFont="1" applyBorder="1" applyAlignment="1" applyProtection="1">
      <alignment horizontal="left" vertical="center" shrinkToFit="1"/>
      <protection locked="0"/>
    </xf>
    <xf numFmtId="0" fontId="19" fillId="0" borderId="1" xfId="0" applyFont="1" applyBorder="1" applyAlignment="1" applyProtection="1">
      <alignment horizontal="left" vertical="center" shrinkToFit="1"/>
      <protection locked="0"/>
    </xf>
    <xf numFmtId="0" fontId="19" fillId="0" borderId="2" xfId="0" applyFont="1" applyBorder="1" applyAlignment="1" applyProtection="1">
      <alignment horizontal="left" vertical="center" shrinkToFit="1"/>
      <protection locked="0"/>
    </xf>
    <xf numFmtId="0" fontId="88" fillId="28" borderId="5" xfId="0" applyFont="1" applyFill="1" applyBorder="1" applyAlignment="1" applyProtection="1">
      <alignment horizontal="center" vertical="center"/>
      <protection hidden="1"/>
    </xf>
    <xf numFmtId="0" fontId="88" fillId="28" borderId="3" xfId="0" applyFont="1" applyFill="1" applyBorder="1" applyAlignment="1" applyProtection="1">
      <alignment horizontal="center" vertical="center"/>
      <protection hidden="1"/>
    </xf>
    <xf numFmtId="0" fontId="19" fillId="0" borderId="22" xfId="0" applyFont="1" applyBorder="1" applyAlignment="1" applyProtection="1">
      <alignment horizontal="left" vertical="center" shrinkToFit="1"/>
      <protection locked="0"/>
    </xf>
    <xf numFmtId="0" fontId="13" fillId="8" borderId="2" xfId="2" applyFont="1" applyFill="1" applyBorder="1" applyAlignment="1" applyProtection="1">
      <alignment horizontal="center" vertical="center"/>
      <protection hidden="1"/>
    </xf>
    <xf numFmtId="0" fontId="13" fillId="8" borderId="5" xfId="2" applyFont="1" applyFill="1" applyBorder="1" applyAlignment="1" applyProtection="1">
      <alignment horizontal="center" vertical="center"/>
      <protection hidden="1"/>
    </xf>
    <xf numFmtId="0" fontId="13" fillId="8" borderId="3" xfId="2" applyFont="1" applyFill="1" applyBorder="1" applyAlignment="1" applyProtection="1">
      <alignment horizontal="center" vertical="center"/>
      <protection hidden="1"/>
    </xf>
    <xf numFmtId="49" fontId="0" fillId="7" borderId="1" xfId="0" applyNumberFormat="1" applyFill="1" applyBorder="1" applyAlignment="1" applyProtection="1">
      <alignment horizontal="left" vertical="center" shrinkToFit="1"/>
      <protection locked="0"/>
    </xf>
    <xf numFmtId="49" fontId="0" fillId="7" borderId="1" xfId="0" applyNumberFormat="1" applyFill="1" applyBorder="1" applyAlignment="1" applyProtection="1">
      <alignment horizontal="center" vertical="center" shrinkToFit="1"/>
      <protection locked="0"/>
    </xf>
    <xf numFmtId="0" fontId="0" fillId="16" borderId="22" xfId="0" applyFill="1" applyBorder="1" applyAlignment="1" applyProtection="1">
      <alignment horizontal="center" vertical="center"/>
      <protection hidden="1"/>
    </xf>
    <xf numFmtId="0" fontId="0" fillId="17" borderId="1" xfId="0" applyFill="1" applyBorder="1" applyAlignment="1">
      <alignment horizontal="center" vertical="center" wrapText="1"/>
    </xf>
    <xf numFmtId="0" fontId="16" fillId="16" borderId="90" xfId="2" applyFont="1" applyFill="1" applyBorder="1" applyAlignment="1" applyProtection="1">
      <alignment horizontal="center" vertical="center"/>
      <protection hidden="1"/>
    </xf>
    <xf numFmtId="0" fontId="16" fillId="16" borderId="1" xfId="2" applyFont="1" applyFill="1" applyBorder="1" applyAlignment="1" applyProtection="1">
      <alignment horizontal="center" vertical="center"/>
      <protection hidden="1"/>
    </xf>
    <xf numFmtId="164" fontId="18" fillId="7" borderId="1" xfId="0" applyNumberFormat="1" applyFont="1" applyFill="1" applyBorder="1" applyAlignment="1" applyProtection="1">
      <alignment horizontal="center" vertical="center" shrinkToFit="1"/>
      <protection locked="0"/>
    </xf>
    <xf numFmtId="0" fontId="0" fillId="19" borderId="1" xfId="0" applyFill="1" applyBorder="1" applyAlignment="1" applyProtection="1">
      <alignment horizontal="center" vertical="center" shrinkToFit="1"/>
      <protection locked="0"/>
    </xf>
    <xf numFmtId="0" fontId="9" fillId="17" borderId="1" xfId="0" applyFont="1" applyFill="1" applyBorder="1" applyAlignment="1">
      <alignment horizontal="center" vertical="center" wrapText="1"/>
    </xf>
    <xf numFmtId="0" fontId="18" fillId="11" borderId="90" xfId="0" applyFont="1" applyFill="1" applyBorder="1" applyAlignment="1">
      <alignment horizontal="center" vertical="center" shrinkToFit="1"/>
    </xf>
    <xf numFmtId="0" fontId="18" fillId="11" borderId="1" xfId="0" applyFont="1" applyFill="1" applyBorder="1" applyAlignment="1">
      <alignment horizontal="center" vertical="center" shrinkToFit="1"/>
    </xf>
    <xf numFmtId="0" fontId="16" fillId="11" borderId="90" xfId="0" applyFont="1" applyFill="1" applyBorder="1" applyAlignment="1">
      <alignment horizontal="center" vertical="center" shrinkToFit="1"/>
    </xf>
    <xf numFmtId="0" fontId="16" fillId="11" borderId="1" xfId="0" applyFont="1" applyFill="1" applyBorder="1" applyAlignment="1">
      <alignment horizontal="center" vertical="center" shrinkToFit="1"/>
    </xf>
    <xf numFmtId="0" fontId="5" fillId="11" borderId="90" xfId="0" applyFont="1" applyFill="1" applyBorder="1" applyAlignment="1">
      <alignment horizontal="center" vertical="center" shrinkToFit="1"/>
    </xf>
    <xf numFmtId="0" fontId="5" fillId="11" borderId="1" xfId="0" applyFont="1" applyFill="1" applyBorder="1" applyAlignment="1">
      <alignment horizontal="center" vertical="center" shrinkToFit="1"/>
    </xf>
    <xf numFmtId="0" fontId="18" fillId="11" borderId="16" xfId="0" applyFont="1" applyFill="1" applyBorder="1" applyAlignment="1">
      <alignment horizontal="center" vertical="center"/>
    </xf>
    <xf numFmtId="0" fontId="18" fillId="11" borderId="12" xfId="0" applyFont="1" applyFill="1" applyBorder="1" applyAlignment="1">
      <alignment horizontal="center" vertical="center"/>
    </xf>
    <xf numFmtId="0" fontId="18" fillId="11" borderId="17" xfId="0" applyFont="1" applyFill="1" applyBorder="1" applyAlignment="1">
      <alignment horizontal="center" vertical="center"/>
    </xf>
    <xf numFmtId="0" fontId="13" fillId="11" borderId="2" xfId="2" applyFont="1" applyFill="1" applyBorder="1" applyAlignment="1" applyProtection="1">
      <alignment horizontal="center" vertical="center"/>
      <protection hidden="1"/>
    </xf>
    <xf numFmtId="0" fontId="13" fillId="11" borderId="5" xfId="2" applyFont="1" applyFill="1" applyBorder="1" applyAlignment="1" applyProtection="1">
      <alignment horizontal="center" vertical="center"/>
      <protection hidden="1"/>
    </xf>
    <xf numFmtId="0" fontId="13" fillId="11" borderId="3" xfId="2" applyFont="1" applyFill="1" applyBorder="1" applyAlignment="1" applyProtection="1">
      <alignment horizontal="center" vertical="center"/>
      <protection hidden="1"/>
    </xf>
    <xf numFmtId="0" fontId="125" fillId="19" borderId="151" xfId="0" applyFont="1" applyFill="1" applyBorder="1" applyAlignment="1" applyProtection="1">
      <alignment horizontal="center" vertical="center" shrinkToFit="1"/>
      <protection hidden="1"/>
    </xf>
    <xf numFmtId="0" fontId="125" fillId="19" borderId="5" xfId="0" applyFont="1" applyFill="1" applyBorder="1" applyAlignment="1" applyProtection="1">
      <alignment horizontal="center" vertical="center" shrinkToFit="1"/>
      <protection hidden="1"/>
    </xf>
    <xf numFmtId="0" fontId="125" fillId="19" borderId="3" xfId="0" applyFont="1" applyFill="1" applyBorder="1" applyAlignment="1" applyProtection="1">
      <alignment horizontal="center" vertical="center" shrinkToFit="1"/>
      <protection hidden="1"/>
    </xf>
    <xf numFmtId="0" fontId="0" fillId="16" borderId="111" xfId="0" applyFill="1" applyBorder="1" applyAlignment="1">
      <alignment horizontal="center" vertical="center"/>
    </xf>
    <xf numFmtId="0" fontId="168" fillId="12" borderId="122" xfId="5" applyFont="1" applyFill="1" applyBorder="1" applyAlignment="1">
      <alignment horizontal="center" vertical="center" shrinkToFit="1"/>
    </xf>
    <xf numFmtId="0" fontId="169" fillId="12" borderId="123" xfId="0" applyFont="1" applyFill="1" applyBorder="1" applyAlignment="1">
      <alignment horizontal="center" vertical="center" shrinkToFit="1"/>
    </xf>
    <xf numFmtId="0" fontId="169" fillId="12" borderId="124" xfId="0" applyFont="1" applyFill="1" applyBorder="1" applyAlignment="1">
      <alignment horizontal="center" vertical="center" shrinkToFit="1"/>
    </xf>
    <xf numFmtId="0" fontId="119" fillId="14" borderId="4" xfId="0" applyFont="1" applyFill="1" applyBorder="1" applyAlignment="1">
      <alignment horizontal="center" vertical="center" textRotation="90" shrinkToFit="1"/>
    </xf>
    <xf numFmtId="0" fontId="119" fillId="14" borderId="23" xfId="0" applyFont="1" applyFill="1" applyBorder="1" applyAlignment="1">
      <alignment horizontal="center" vertical="center" textRotation="90" shrinkToFit="1"/>
    </xf>
    <xf numFmtId="0" fontId="66" fillId="26" borderId="1" xfId="0" applyFont="1" applyFill="1" applyBorder="1" applyAlignment="1" applyProtection="1">
      <alignment horizontal="center" vertical="center" textRotation="90" shrinkToFit="1"/>
      <protection hidden="1"/>
    </xf>
    <xf numFmtId="0" fontId="68" fillId="28" borderId="2" xfId="0" applyFont="1" applyFill="1" applyBorder="1" applyAlignment="1">
      <alignment horizontal="center" vertical="center" textRotation="90" shrinkToFit="1"/>
    </xf>
    <xf numFmtId="0" fontId="68" fillId="28" borderId="1" xfId="0" applyFont="1" applyFill="1" applyBorder="1" applyAlignment="1">
      <alignment horizontal="center" vertical="center" textRotation="90" shrinkToFit="1"/>
    </xf>
    <xf numFmtId="0" fontId="66" fillId="8" borderId="26" xfId="0" applyFont="1" applyFill="1" applyBorder="1" applyAlignment="1" applyProtection="1">
      <alignment horizontal="center" vertical="center" textRotation="90" shrinkToFit="1"/>
      <protection hidden="1"/>
    </xf>
    <xf numFmtId="0" fontId="66" fillId="8" borderId="17" xfId="0" applyFont="1" applyFill="1" applyBorder="1" applyAlignment="1" applyProtection="1">
      <alignment horizontal="center" vertical="center" textRotation="90" shrinkToFit="1"/>
      <protection hidden="1"/>
    </xf>
    <xf numFmtId="0" fontId="37" fillId="31" borderId="14" xfId="0" applyFont="1" applyFill="1" applyBorder="1" applyAlignment="1">
      <alignment horizontal="center" vertical="center" textRotation="90" shrinkToFit="1"/>
    </xf>
    <xf numFmtId="0" fontId="37" fillId="31" borderId="26" xfId="0" applyFont="1" applyFill="1" applyBorder="1" applyAlignment="1">
      <alignment horizontal="center" vertical="center" textRotation="90" shrinkToFit="1"/>
    </xf>
    <xf numFmtId="0" fontId="37" fillId="31" borderId="17" xfId="0" applyFont="1" applyFill="1" applyBorder="1" applyAlignment="1">
      <alignment horizontal="center" vertical="center" textRotation="90" shrinkToFit="1"/>
    </xf>
    <xf numFmtId="0" fontId="140" fillId="27" borderId="88" xfId="0" applyFont="1" applyFill="1" applyBorder="1" applyAlignment="1">
      <alignment horizontal="center" vertical="center"/>
    </xf>
    <xf numFmtId="0" fontId="140" fillId="27" borderId="12" xfId="0" applyFont="1" applyFill="1" applyBorder="1" applyAlignment="1">
      <alignment horizontal="center" vertical="center"/>
    </xf>
    <xf numFmtId="0" fontId="140" fillId="27" borderId="0" xfId="0" applyFont="1" applyFill="1" applyAlignment="1">
      <alignment horizontal="center" vertical="center"/>
    </xf>
    <xf numFmtId="0" fontId="59" fillId="31" borderId="5" xfId="0" applyFont="1" applyFill="1" applyBorder="1" applyAlignment="1">
      <alignment horizontal="center" vertical="center" shrinkToFit="1"/>
    </xf>
    <xf numFmtId="0" fontId="59" fillId="31" borderId="12" xfId="0" applyFont="1" applyFill="1" applyBorder="1" applyAlignment="1">
      <alignment horizontal="center" vertical="center" shrinkToFit="1"/>
    </xf>
    <xf numFmtId="0" fontId="59" fillId="31" borderId="3" xfId="0" applyFont="1" applyFill="1" applyBorder="1" applyAlignment="1">
      <alignment horizontal="center" vertical="center" shrinkToFit="1"/>
    </xf>
    <xf numFmtId="0" fontId="13" fillId="0" borderId="92" xfId="2" applyFont="1" applyBorder="1" applyAlignment="1" applyProtection="1">
      <alignment horizontal="center" vertical="center" shrinkToFit="1"/>
      <protection locked="0"/>
    </xf>
    <xf numFmtId="0" fontId="13" fillId="0" borderId="79" xfId="2" applyFont="1" applyBorder="1" applyAlignment="1" applyProtection="1">
      <alignment horizontal="center" vertical="center" shrinkToFit="1"/>
      <protection locked="0"/>
    </xf>
    <xf numFmtId="0" fontId="18" fillId="17" borderId="94" xfId="0" applyFont="1" applyFill="1" applyBorder="1" applyAlignment="1" applyProtection="1">
      <alignment horizontal="center" vertical="center" shrinkToFit="1"/>
      <protection hidden="1"/>
    </xf>
    <xf numFmtId="0" fontId="18" fillId="17" borderId="3" xfId="0" applyFont="1" applyFill="1" applyBorder="1" applyAlignment="1" applyProtection="1">
      <alignment horizontal="center" vertical="center" shrinkToFit="1"/>
      <protection hidden="1"/>
    </xf>
    <xf numFmtId="0" fontId="63" fillId="0" borderId="90" xfId="0" applyFont="1" applyBorder="1" applyAlignment="1" applyProtection="1">
      <alignment horizontal="center" vertical="center" shrinkToFit="1"/>
      <protection locked="0"/>
    </xf>
    <xf numFmtId="0" fontId="63" fillId="0" borderId="1" xfId="0" applyFont="1" applyBorder="1" applyAlignment="1" applyProtection="1">
      <alignment horizontal="center" vertical="center" shrinkToFit="1"/>
      <protection locked="0"/>
    </xf>
    <xf numFmtId="0" fontId="133" fillId="17" borderId="93" xfId="0" applyFont="1" applyFill="1" applyBorder="1" applyAlignment="1">
      <alignment horizontal="center" vertical="center"/>
    </xf>
    <xf numFmtId="0" fontId="133" fillId="17" borderId="86" xfId="0" applyFont="1" applyFill="1" applyBorder="1" applyAlignment="1">
      <alignment horizontal="center" vertical="center"/>
    </xf>
    <xf numFmtId="0" fontId="18" fillId="17" borderId="94" xfId="0" applyFont="1" applyFill="1" applyBorder="1" applyAlignment="1">
      <alignment horizontal="center" vertical="center" shrinkToFit="1"/>
    </xf>
    <xf numFmtId="0" fontId="18" fillId="17" borderId="3" xfId="0" applyFont="1" applyFill="1" applyBorder="1" applyAlignment="1">
      <alignment horizontal="center" vertical="center" shrinkToFit="1"/>
    </xf>
    <xf numFmtId="0" fontId="19" fillId="17" borderId="94" xfId="0" applyFont="1" applyFill="1" applyBorder="1" applyAlignment="1">
      <alignment horizontal="center" vertical="center" shrinkToFit="1"/>
    </xf>
    <xf numFmtId="0" fontId="19" fillId="17" borderId="3" xfId="0" applyFont="1" applyFill="1" applyBorder="1" applyAlignment="1">
      <alignment horizontal="center" vertical="center" shrinkToFit="1"/>
    </xf>
    <xf numFmtId="0" fontId="13" fillId="8" borderId="23" xfId="2" applyFont="1" applyFill="1" applyBorder="1" applyAlignment="1" applyProtection="1">
      <alignment horizontal="right" vertical="center"/>
      <protection hidden="1"/>
    </xf>
    <xf numFmtId="0" fontId="0" fillId="25" borderId="90" xfId="0" applyFill="1" applyBorder="1" applyAlignment="1">
      <alignment horizontal="center" vertical="center"/>
    </xf>
    <xf numFmtId="0" fontId="0" fillId="25" borderId="1" xfId="0" applyFill="1" applyBorder="1" applyAlignment="1">
      <alignment horizontal="center" vertical="center"/>
    </xf>
    <xf numFmtId="0" fontId="132" fillId="9" borderId="90" xfId="2" applyFont="1" applyFill="1" applyBorder="1" applyAlignment="1" applyProtection="1">
      <alignment horizontal="center" vertical="center" shrinkToFit="1"/>
      <protection hidden="1"/>
    </xf>
    <xf numFmtId="0" fontId="132" fillId="9" borderId="1" xfId="2" applyFont="1" applyFill="1" applyBorder="1" applyAlignment="1" applyProtection="1">
      <alignment horizontal="center" vertical="center" shrinkToFit="1"/>
      <protection hidden="1"/>
    </xf>
    <xf numFmtId="0" fontId="16" fillId="16" borderId="91" xfId="0" applyFont="1" applyFill="1" applyBorder="1" applyAlignment="1" applyProtection="1">
      <alignment horizontal="center" vertical="center"/>
      <protection locked="0"/>
    </xf>
    <xf numFmtId="0" fontId="16" fillId="16" borderId="22" xfId="0" applyFont="1" applyFill="1" applyBorder="1" applyAlignment="1" applyProtection="1">
      <alignment horizontal="center" vertical="center"/>
      <protection locked="0"/>
    </xf>
    <xf numFmtId="0" fontId="14" fillId="16" borderId="2" xfId="2" applyFont="1" applyFill="1" applyBorder="1" applyAlignment="1" applyProtection="1">
      <alignment horizontal="left" vertical="center"/>
      <protection hidden="1"/>
    </xf>
    <xf numFmtId="0" fontId="14" fillId="16" borderId="5" xfId="2" applyFont="1" applyFill="1" applyBorder="1" applyAlignment="1" applyProtection="1">
      <alignment horizontal="left" vertical="center"/>
      <protection hidden="1"/>
    </xf>
    <xf numFmtId="0" fontId="14" fillId="16" borderId="3" xfId="2" applyFont="1" applyFill="1" applyBorder="1" applyAlignment="1" applyProtection="1">
      <alignment horizontal="left" vertical="center"/>
      <protection hidden="1"/>
    </xf>
    <xf numFmtId="0" fontId="63" fillId="16" borderId="5" xfId="0" applyFont="1" applyFill="1" applyBorder="1" applyAlignment="1" applyProtection="1">
      <alignment horizontal="center" vertical="center" shrinkToFit="1"/>
      <protection hidden="1"/>
    </xf>
    <xf numFmtId="0" fontId="143" fillId="9" borderId="96" xfId="0" applyFont="1" applyFill="1" applyBorder="1" applyAlignment="1">
      <alignment horizontal="center" vertical="center" shrinkToFit="1"/>
    </xf>
    <xf numFmtId="0" fontId="143" fillId="9" borderId="15" xfId="0" applyFont="1" applyFill="1" applyBorder="1" applyAlignment="1">
      <alignment horizontal="center" vertical="center" shrinkToFit="1"/>
    </xf>
    <xf numFmtId="0" fontId="13" fillId="8" borderId="2" xfId="0" applyFont="1" applyFill="1" applyBorder="1" applyAlignment="1" applyProtection="1">
      <alignment horizontal="center" vertical="center" shrinkToFit="1"/>
      <protection hidden="1"/>
    </xf>
    <xf numFmtId="0" fontId="13" fillId="8" borderId="5" xfId="0" applyFont="1" applyFill="1" applyBorder="1" applyAlignment="1" applyProtection="1">
      <alignment horizontal="center" vertical="center" shrinkToFit="1"/>
      <protection hidden="1"/>
    </xf>
    <xf numFmtId="0" fontId="13" fillId="8" borderId="3" xfId="0" applyFont="1" applyFill="1" applyBorder="1" applyAlignment="1" applyProtection="1">
      <alignment horizontal="center" vertical="center" shrinkToFit="1"/>
      <protection hidden="1"/>
    </xf>
    <xf numFmtId="164" fontId="109" fillId="11" borderId="90" xfId="0" applyNumberFormat="1" applyFont="1" applyFill="1" applyBorder="1" applyAlignment="1" applyProtection="1">
      <alignment horizontal="center" vertical="center" shrinkToFit="1"/>
      <protection locked="0"/>
    </xf>
    <xf numFmtId="164" fontId="109" fillId="11" borderId="1" xfId="0" applyNumberFormat="1" applyFont="1" applyFill="1" applyBorder="1" applyAlignment="1" applyProtection="1">
      <alignment horizontal="center" vertical="center" shrinkToFit="1"/>
      <protection locked="0"/>
    </xf>
    <xf numFmtId="0" fontId="79" fillId="6" borderId="5" xfId="0" applyFont="1" applyFill="1" applyBorder="1" applyAlignment="1">
      <alignment horizontal="center" vertical="center" shrinkToFit="1"/>
    </xf>
    <xf numFmtId="0" fontId="79" fillId="6" borderId="3" xfId="0" applyFont="1" applyFill="1" applyBorder="1" applyAlignment="1">
      <alignment horizontal="center" vertical="center" shrinkToFit="1"/>
    </xf>
    <xf numFmtId="0" fontId="15" fillId="0" borderId="107" xfId="5" applyFill="1" applyBorder="1" applyAlignment="1" applyProtection="1">
      <alignment horizontal="center" vertical="center" wrapText="1"/>
      <protection hidden="1"/>
    </xf>
    <xf numFmtId="0" fontId="15" fillId="0" borderId="108" xfId="5" applyFill="1" applyBorder="1" applyAlignment="1" applyProtection="1">
      <alignment horizontal="center" vertical="center" wrapText="1"/>
      <protection hidden="1"/>
    </xf>
    <xf numFmtId="0" fontId="15" fillId="0" borderId="84" xfId="5" applyFill="1" applyBorder="1" applyAlignment="1" applyProtection="1">
      <alignment horizontal="center" vertical="center" wrapText="1"/>
      <protection hidden="1"/>
    </xf>
    <xf numFmtId="0" fontId="15" fillId="0" borderId="0" xfId="5" applyFill="1" applyBorder="1" applyAlignment="1" applyProtection="1">
      <alignment horizontal="center" vertical="center" wrapText="1"/>
      <protection hidden="1"/>
    </xf>
    <xf numFmtId="0" fontId="116" fillId="12" borderId="84" xfId="0" applyFont="1" applyFill="1" applyBorder="1" applyAlignment="1">
      <alignment horizontal="left" vertical="center" wrapText="1" shrinkToFit="1"/>
    </xf>
    <xf numFmtId="0" fontId="116" fillId="12" borderId="0" xfId="0" applyFont="1" applyFill="1" applyAlignment="1">
      <alignment horizontal="left" vertical="center" wrapText="1" shrinkToFit="1"/>
    </xf>
    <xf numFmtId="0" fontId="0" fillId="11" borderId="90" xfId="0" applyFill="1" applyBorder="1" applyAlignment="1">
      <alignment horizontal="center" vertical="center" shrinkToFit="1"/>
    </xf>
    <xf numFmtId="0" fontId="0" fillId="11" borderId="1" xfId="0" applyFill="1" applyBorder="1" applyAlignment="1">
      <alignment horizontal="center" vertical="center" shrinkToFit="1"/>
    </xf>
    <xf numFmtId="0" fontId="68" fillId="6" borderId="14" xfId="0" applyFont="1" applyFill="1" applyBorder="1" applyAlignment="1">
      <alignment horizontal="center" vertical="center" textRotation="90" shrinkToFit="1"/>
    </xf>
    <xf numFmtId="0" fontId="68" fillId="6" borderId="26" xfId="0" applyFont="1" applyFill="1" applyBorder="1" applyAlignment="1">
      <alignment horizontal="center" vertical="center" textRotation="90" shrinkToFit="1"/>
    </xf>
    <xf numFmtId="0" fontId="59" fillId="9" borderId="3" xfId="0" applyFont="1" applyFill="1" applyBorder="1" applyAlignment="1">
      <alignment horizontal="center" vertical="center" shrinkToFit="1"/>
    </xf>
    <xf numFmtId="0" fontId="59" fillId="9" borderId="1" xfId="0" applyFont="1" applyFill="1" applyBorder="1" applyAlignment="1">
      <alignment horizontal="center" vertical="center" shrinkToFit="1"/>
    </xf>
    <xf numFmtId="2" fontId="183" fillId="12" borderId="82" xfId="0" applyNumberFormat="1" applyFont="1" applyFill="1" applyBorder="1" applyAlignment="1" applyProtection="1">
      <alignment horizontal="center" vertical="center" wrapText="1"/>
      <protection hidden="1"/>
    </xf>
    <xf numFmtId="2" fontId="183" fillId="12" borderId="0" xfId="0" applyNumberFormat="1" applyFont="1" applyFill="1" applyAlignment="1" applyProtection="1">
      <alignment horizontal="center" vertical="center" wrapText="1"/>
      <protection hidden="1"/>
    </xf>
    <xf numFmtId="0" fontId="0" fillId="17" borderId="90" xfId="0" applyFill="1" applyBorder="1" applyAlignment="1">
      <alignment horizontal="center" vertical="center" shrinkToFit="1"/>
    </xf>
    <xf numFmtId="0" fontId="0" fillId="17" borderId="1" xfId="0" applyFill="1" applyBorder="1" applyAlignment="1">
      <alignment horizontal="center" vertical="center" shrinkToFit="1"/>
    </xf>
    <xf numFmtId="0" fontId="59" fillId="3" borderId="148" xfId="0" applyFont="1" applyFill="1" applyBorder="1" applyAlignment="1" applyProtection="1">
      <alignment horizontal="center" vertical="center" shrinkToFit="1"/>
      <protection hidden="1"/>
    </xf>
    <xf numFmtId="0" fontId="59" fillId="3" borderId="0" xfId="0" applyFont="1" applyFill="1" applyAlignment="1" applyProtection="1">
      <alignment horizontal="center" vertical="center" shrinkToFit="1"/>
      <protection hidden="1"/>
    </xf>
    <xf numFmtId="0" fontId="87" fillId="25" borderId="94" xfId="0" applyFont="1" applyFill="1" applyBorder="1" applyAlignment="1">
      <alignment horizontal="center" vertical="center" shrinkToFit="1"/>
    </xf>
    <xf numFmtId="0" fontId="87" fillId="25" borderId="3" xfId="0" applyFont="1" applyFill="1" applyBorder="1" applyAlignment="1">
      <alignment horizontal="center" vertical="center" shrinkToFit="1"/>
    </xf>
    <xf numFmtId="0" fontId="87" fillId="25" borderId="90" xfId="0" applyFont="1" applyFill="1" applyBorder="1" applyAlignment="1">
      <alignment horizontal="center" vertical="center" shrinkToFit="1"/>
    </xf>
    <xf numFmtId="0" fontId="87" fillId="25" borderId="1" xfId="0" applyFont="1" applyFill="1" applyBorder="1" applyAlignment="1">
      <alignment horizontal="center" vertical="center" shrinkToFit="1"/>
    </xf>
    <xf numFmtId="0" fontId="16" fillId="30" borderId="90" xfId="0" applyFont="1" applyFill="1" applyBorder="1" applyAlignment="1">
      <alignment horizontal="center" vertical="center" shrinkToFit="1"/>
    </xf>
    <xf numFmtId="0" fontId="16" fillId="30" borderId="1" xfId="0" applyFont="1" applyFill="1" applyBorder="1" applyAlignment="1">
      <alignment horizontal="center" vertical="center" shrinkToFit="1"/>
    </xf>
    <xf numFmtId="0" fontId="171" fillId="12" borderId="158" xfId="0" applyFont="1" applyFill="1" applyBorder="1" applyAlignment="1" applyProtection="1">
      <alignment horizontal="center" vertical="center" shrinkToFit="1"/>
      <protection hidden="1"/>
    </xf>
    <xf numFmtId="0" fontId="171" fillId="12" borderId="159" xfId="0" applyFont="1" applyFill="1" applyBorder="1" applyAlignment="1" applyProtection="1">
      <alignment horizontal="center" vertical="center" shrinkToFit="1"/>
      <protection hidden="1"/>
    </xf>
    <xf numFmtId="0" fontId="0" fillId="26" borderId="90" xfId="0" applyFill="1" applyBorder="1" applyAlignment="1">
      <alignment horizontal="center" vertical="center"/>
    </xf>
    <xf numFmtId="0" fontId="0" fillId="26" borderId="1" xfId="0" applyFill="1" applyBorder="1" applyAlignment="1">
      <alignment horizontal="center" vertical="center"/>
    </xf>
    <xf numFmtId="0" fontId="138" fillId="11" borderId="1" xfId="0" applyFont="1" applyFill="1" applyBorder="1" applyAlignment="1">
      <alignment horizontal="center" vertical="top" wrapText="1"/>
    </xf>
    <xf numFmtId="0" fontId="9" fillId="11" borderId="1" xfId="0" applyFont="1" applyFill="1" applyBorder="1" applyAlignment="1">
      <alignment horizontal="center" vertical="top" wrapText="1"/>
    </xf>
    <xf numFmtId="0" fontId="139" fillId="25" borderId="90" xfId="2" applyFont="1" applyFill="1" applyBorder="1" applyAlignment="1" applyProtection="1">
      <alignment horizontal="center" vertical="center"/>
      <protection hidden="1"/>
    </xf>
    <xf numFmtId="0" fontId="139" fillId="25" borderId="1" xfId="2" applyFont="1" applyFill="1" applyBorder="1" applyAlignment="1" applyProtection="1">
      <alignment horizontal="center" vertical="center"/>
      <protection hidden="1"/>
    </xf>
    <xf numFmtId="0" fontId="103" fillId="11" borderId="1" xfId="0" applyFont="1" applyFill="1" applyBorder="1" applyAlignment="1">
      <alignment horizontal="center" vertical="top" wrapText="1"/>
    </xf>
    <xf numFmtId="0" fontId="127" fillId="0" borderId="165" xfId="0" applyFont="1" applyBorder="1" applyAlignment="1" applyProtection="1">
      <alignment horizontal="center" vertical="center" shrinkToFit="1"/>
      <protection locked="0"/>
    </xf>
    <xf numFmtId="0" fontId="127" fillId="0" borderId="118" xfId="0" applyFont="1" applyBorder="1" applyAlignment="1" applyProtection="1">
      <alignment horizontal="center" vertical="center" shrinkToFit="1"/>
      <protection locked="0"/>
    </xf>
    <xf numFmtId="0" fontId="137" fillId="12" borderId="13" xfId="5" applyFont="1" applyFill="1" applyBorder="1" applyAlignment="1">
      <alignment horizontal="center" vertical="center"/>
    </xf>
    <xf numFmtId="0" fontId="137" fillId="12" borderId="14" xfId="5" applyFont="1" applyFill="1" applyBorder="1" applyAlignment="1">
      <alignment horizontal="center" vertical="center"/>
    </xf>
    <xf numFmtId="0" fontId="196" fillId="12" borderId="174" xfId="0" applyFont="1" applyFill="1" applyBorder="1" applyAlignment="1" applyProtection="1">
      <alignment horizontal="center" vertical="top" wrapText="1" shrinkToFit="1"/>
      <protection hidden="1"/>
    </xf>
    <xf numFmtId="0" fontId="196" fillId="12" borderId="115" xfId="0" applyFont="1" applyFill="1" applyBorder="1" applyAlignment="1" applyProtection="1">
      <alignment horizontal="center" vertical="top" wrapText="1" shrinkToFit="1"/>
      <protection hidden="1"/>
    </xf>
    <xf numFmtId="0" fontId="196" fillId="12" borderId="116" xfId="0" applyFont="1" applyFill="1" applyBorder="1" applyAlignment="1" applyProtection="1">
      <alignment horizontal="center" vertical="top" wrapText="1" shrinkToFit="1"/>
      <protection hidden="1"/>
    </xf>
    <xf numFmtId="0" fontId="196" fillId="12" borderId="175" xfId="0" applyFont="1" applyFill="1" applyBorder="1" applyAlignment="1" applyProtection="1">
      <alignment horizontal="center" vertical="top" wrapText="1" shrinkToFit="1"/>
      <protection hidden="1"/>
    </xf>
    <xf numFmtId="0" fontId="196" fillId="12" borderId="117" xfId="0" applyFont="1" applyFill="1" applyBorder="1" applyAlignment="1" applyProtection="1">
      <alignment horizontal="center" vertical="top" wrapText="1" shrinkToFit="1"/>
      <protection hidden="1"/>
    </xf>
    <xf numFmtId="0" fontId="196" fillId="12" borderId="118" xfId="0" applyFont="1" applyFill="1" applyBorder="1" applyAlignment="1" applyProtection="1">
      <alignment horizontal="center" vertical="top" wrapText="1" shrinkToFit="1"/>
      <protection hidden="1"/>
    </xf>
    <xf numFmtId="0" fontId="87" fillId="0" borderId="1" xfId="0" applyFont="1" applyBorder="1" applyAlignment="1" applyProtection="1">
      <alignment horizontal="left" vertical="center" shrinkToFit="1"/>
      <protection locked="0"/>
    </xf>
    <xf numFmtId="0" fontId="87" fillId="0" borderId="112" xfId="0" applyFont="1" applyBorder="1" applyAlignment="1" applyProtection="1">
      <alignment horizontal="left" vertical="center" shrinkToFit="1"/>
      <protection locked="0"/>
    </xf>
    <xf numFmtId="0" fontId="58" fillId="14" borderId="119" xfId="0" applyFont="1" applyFill="1" applyBorder="1" applyAlignment="1">
      <alignment horizontal="center" vertical="center" shrinkToFit="1"/>
    </xf>
    <xf numFmtId="0" fontId="58" fillId="14" borderId="120" xfId="0" applyFont="1" applyFill="1" applyBorder="1" applyAlignment="1">
      <alignment horizontal="center" vertical="center" shrinkToFit="1"/>
    </xf>
    <xf numFmtId="0" fontId="58" fillId="14" borderId="164" xfId="0" applyFont="1" applyFill="1" applyBorder="1" applyAlignment="1">
      <alignment horizontal="center" vertical="center" shrinkToFit="1"/>
    </xf>
    <xf numFmtId="0" fontId="0" fillId="16" borderId="163" xfId="0" applyFill="1" applyBorder="1" applyAlignment="1">
      <alignment horizontal="center" vertical="center"/>
    </xf>
    <xf numFmtId="0" fontId="176" fillId="21" borderId="0" xfId="0" applyFont="1" applyFill="1" applyAlignment="1">
      <alignment horizontal="center" vertical="center" wrapText="1"/>
    </xf>
    <xf numFmtId="0" fontId="174" fillId="0" borderId="107" xfId="5" applyFont="1" applyFill="1" applyBorder="1" applyAlignment="1" applyProtection="1">
      <alignment horizontal="center" vertical="center" wrapText="1"/>
      <protection hidden="1"/>
    </xf>
    <xf numFmtId="0" fontId="174" fillId="0" borderId="108" xfId="5" applyFont="1" applyFill="1" applyBorder="1" applyAlignment="1" applyProtection="1">
      <alignment horizontal="center" vertical="center" wrapText="1"/>
      <protection hidden="1"/>
    </xf>
    <xf numFmtId="0" fontId="174" fillId="0" borderId="109" xfId="5" applyFont="1" applyFill="1" applyBorder="1" applyAlignment="1" applyProtection="1">
      <alignment horizontal="center" vertical="center" wrapText="1"/>
      <protection hidden="1"/>
    </xf>
    <xf numFmtId="0" fontId="174" fillId="0" borderId="110" xfId="5" applyFont="1" applyFill="1" applyBorder="1" applyAlignment="1" applyProtection="1">
      <alignment horizontal="center" vertical="center" wrapText="1"/>
      <protection hidden="1"/>
    </xf>
    <xf numFmtId="0" fontId="15" fillId="0" borderId="160" xfId="5" applyFill="1" applyBorder="1" applyAlignment="1" applyProtection="1">
      <alignment horizontal="center" vertical="center" wrapText="1"/>
      <protection hidden="1"/>
    </xf>
    <xf numFmtId="0" fontId="15" fillId="0" borderId="161" xfId="5" applyFill="1" applyBorder="1" applyAlignment="1" applyProtection="1">
      <alignment horizontal="center" vertical="center" wrapText="1"/>
      <protection hidden="1"/>
    </xf>
    <xf numFmtId="0" fontId="58" fillId="0" borderId="1" xfId="0" applyFont="1" applyBorder="1" applyAlignment="1" applyProtection="1">
      <alignment horizontal="left" vertical="center" shrinkToFit="1"/>
      <protection locked="0"/>
    </xf>
    <xf numFmtId="0" fontId="58" fillId="0" borderId="112" xfId="0" applyFont="1" applyBorder="1" applyAlignment="1" applyProtection="1">
      <alignment horizontal="left" vertical="center" shrinkToFit="1"/>
      <protection locked="0"/>
    </xf>
    <xf numFmtId="0" fontId="175" fillId="12" borderId="162" xfId="0" applyFont="1" applyFill="1" applyBorder="1" applyAlignment="1" applyProtection="1">
      <alignment horizontal="center" vertical="center" shrinkToFit="1"/>
      <protection hidden="1"/>
    </xf>
    <xf numFmtId="0" fontId="15" fillId="0" borderId="104" xfId="5" applyFill="1" applyBorder="1" applyAlignment="1" applyProtection="1">
      <alignment horizontal="center" vertical="center" wrapText="1"/>
      <protection hidden="1"/>
    </xf>
    <xf numFmtId="0" fontId="15" fillId="0" borderId="14" xfId="5" applyFill="1" applyBorder="1" applyAlignment="1" applyProtection="1">
      <alignment horizontal="center" vertical="center" wrapText="1"/>
      <protection hidden="1"/>
    </xf>
    <xf numFmtId="0" fontId="15" fillId="0" borderId="113" xfId="5" applyFill="1" applyBorder="1" applyAlignment="1" applyProtection="1">
      <alignment horizontal="center" vertical="center" wrapText="1"/>
      <protection hidden="1"/>
    </xf>
    <xf numFmtId="0" fontId="15" fillId="0" borderId="12" xfId="5" applyFill="1" applyBorder="1" applyAlignment="1" applyProtection="1">
      <alignment horizontal="center" vertical="center" wrapText="1"/>
      <protection hidden="1"/>
    </xf>
    <xf numFmtId="0" fontId="0" fillId="15" borderId="1" xfId="0" applyFill="1" applyBorder="1" applyAlignment="1">
      <alignment horizontal="center" vertical="center"/>
    </xf>
    <xf numFmtId="0" fontId="145" fillId="26" borderId="84" xfId="0" applyFont="1" applyFill="1" applyBorder="1" applyAlignment="1">
      <alignment horizontal="center" vertical="center" wrapText="1"/>
    </xf>
    <xf numFmtId="0" fontId="145" fillId="26" borderId="0" xfId="0" applyFont="1" applyFill="1" applyAlignment="1">
      <alignment horizontal="center" vertical="center" wrapText="1"/>
    </xf>
    <xf numFmtId="0" fontId="145" fillId="26" borderId="113" xfId="0" applyFont="1" applyFill="1" applyBorder="1" applyAlignment="1">
      <alignment horizontal="center" vertical="center" wrapText="1"/>
    </xf>
    <xf numFmtId="0" fontId="145" fillId="26" borderId="12" xfId="0" applyFont="1" applyFill="1" applyBorder="1" applyAlignment="1">
      <alignment horizontal="center" vertical="center" wrapText="1"/>
    </xf>
    <xf numFmtId="0" fontId="122" fillId="2" borderId="104" xfId="0" applyFont="1" applyFill="1" applyBorder="1" applyAlignment="1">
      <alignment horizontal="center" vertical="center" wrapText="1"/>
    </xf>
    <xf numFmtId="0" fontId="122" fillId="2" borderId="14" xfId="0" applyFont="1" applyFill="1" applyBorder="1" applyAlignment="1">
      <alignment horizontal="center" vertical="center" wrapText="1"/>
    </xf>
    <xf numFmtId="0" fontId="122" fillId="2" borderId="84" xfId="0" applyFont="1" applyFill="1" applyBorder="1" applyAlignment="1">
      <alignment horizontal="center" vertical="center" wrapText="1"/>
    </xf>
    <xf numFmtId="0" fontId="122" fillId="2" borderId="0" xfId="0" applyFont="1" applyFill="1" applyAlignment="1">
      <alignment horizontal="center" vertical="center" wrapText="1"/>
    </xf>
    <xf numFmtId="0" fontId="118" fillId="8" borderId="1" xfId="0" applyFont="1" applyFill="1" applyBorder="1" applyAlignment="1">
      <alignment horizontal="center" vertical="center" shrinkToFit="1"/>
    </xf>
    <xf numFmtId="0" fontId="137" fillId="33" borderId="14" xfId="5" applyFont="1" applyFill="1" applyBorder="1" applyAlignment="1">
      <alignment horizontal="center" vertical="center" wrapText="1"/>
    </xf>
    <xf numFmtId="0" fontId="137" fillId="33" borderId="12" xfId="5" applyFont="1" applyFill="1" applyBorder="1" applyAlignment="1">
      <alignment horizontal="center" vertical="center" wrapText="1"/>
    </xf>
    <xf numFmtId="0" fontId="0" fillId="15" borderId="1" xfId="0" applyFill="1" applyBorder="1" applyAlignment="1">
      <alignment horizontal="center"/>
    </xf>
    <xf numFmtId="0" fontId="15" fillId="0" borderId="105" xfId="5" applyFill="1" applyBorder="1" applyAlignment="1" applyProtection="1">
      <alignment horizontal="center" vertical="center" wrapText="1"/>
      <protection hidden="1"/>
    </xf>
    <xf numFmtId="0" fontId="15" fillId="0" borderId="106" xfId="5" applyFill="1" applyBorder="1" applyAlignment="1" applyProtection="1">
      <alignment horizontal="center" vertical="center" wrapText="1"/>
      <protection hidden="1"/>
    </xf>
    <xf numFmtId="0" fontId="132" fillId="9" borderId="89" xfId="2" applyFont="1" applyFill="1" applyBorder="1" applyAlignment="1" applyProtection="1">
      <alignment horizontal="center" vertical="center" shrinkToFit="1"/>
      <protection hidden="1"/>
    </xf>
    <xf numFmtId="0" fontId="132" fillId="9" borderId="23" xfId="2" applyFont="1" applyFill="1" applyBorder="1" applyAlignment="1" applyProtection="1">
      <alignment horizontal="center" vertical="center" shrinkToFit="1"/>
      <protection hidden="1"/>
    </xf>
    <xf numFmtId="0" fontId="10" fillId="11" borderId="90" xfId="2" applyFont="1" applyFill="1" applyBorder="1" applyAlignment="1" applyProtection="1">
      <alignment horizontal="center" vertical="center" shrinkToFit="1"/>
      <protection hidden="1"/>
    </xf>
    <xf numFmtId="0" fontId="10" fillId="11" borderId="1" xfId="2" applyFont="1" applyFill="1" applyBorder="1" applyAlignment="1" applyProtection="1">
      <alignment horizontal="center" vertical="center" shrinkToFit="1"/>
      <protection hidden="1"/>
    </xf>
    <xf numFmtId="0" fontId="116" fillId="25" borderId="89" xfId="0" applyFont="1" applyFill="1" applyBorder="1" applyAlignment="1">
      <alignment horizontal="left" vertical="center" wrapText="1" shrinkToFit="1"/>
    </xf>
    <xf numFmtId="0" fontId="5" fillId="25" borderId="23" xfId="0" applyFont="1" applyFill="1" applyBorder="1" applyAlignment="1">
      <alignment horizontal="left" vertical="center" wrapText="1" shrinkToFit="1"/>
    </xf>
    <xf numFmtId="0" fontId="9" fillId="3" borderId="103" xfId="0" applyFont="1" applyFill="1" applyBorder="1" applyAlignment="1" applyProtection="1">
      <alignment horizontal="center" vertical="center" wrapText="1"/>
      <protection hidden="1"/>
    </xf>
    <xf numFmtId="0" fontId="104" fillId="19" borderId="2" xfId="0" applyFont="1" applyFill="1" applyBorder="1" applyAlignment="1" applyProtection="1">
      <alignment horizontal="left" vertical="center" shrinkToFit="1"/>
      <protection hidden="1"/>
    </xf>
    <xf numFmtId="0" fontId="104" fillId="19" borderId="5" xfId="0" applyFont="1" applyFill="1" applyBorder="1" applyAlignment="1" applyProtection="1">
      <alignment horizontal="left" vertical="center" shrinkToFit="1"/>
      <protection hidden="1"/>
    </xf>
    <xf numFmtId="0" fontId="104" fillId="19" borderId="3" xfId="0" applyFont="1" applyFill="1" applyBorder="1" applyAlignment="1" applyProtection="1">
      <alignment horizontal="left" vertical="center" shrinkToFit="1"/>
      <protection hidden="1"/>
    </xf>
    <xf numFmtId="0" fontId="104" fillId="19" borderId="2" xfId="0" applyFont="1" applyFill="1" applyBorder="1" applyAlignment="1" applyProtection="1">
      <alignment horizontal="left" vertical="center"/>
      <protection hidden="1"/>
    </xf>
    <xf numFmtId="0" fontId="104" fillId="19" borderId="5" xfId="0" applyFont="1" applyFill="1" applyBorder="1" applyAlignment="1" applyProtection="1">
      <alignment horizontal="left" vertical="center"/>
      <protection hidden="1"/>
    </xf>
    <xf numFmtId="0" fontId="104" fillId="19" borderId="3" xfId="0" applyFont="1" applyFill="1" applyBorder="1" applyAlignment="1" applyProtection="1">
      <alignment horizontal="left" vertical="center"/>
      <protection hidden="1"/>
    </xf>
    <xf numFmtId="0" fontId="132" fillId="9" borderId="94" xfId="2" applyFont="1" applyFill="1" applyBorder="1" applyAlignment="1" applyProtection="1">
      <alignment horizontal="center" vertical="center" shrinkToFit="1"/>
      <protection hidden="1"/>
    </xf>
    <xf numFmtId="0" fontId="132" fillId="9" borderId="3" xfId="2" applyFont="1" applyFill="1" applyBorder="1" applyAlignment="1" applyProtection="1">
      <alignment horizontal="center" vertical="center" shrinkToFit="1"/>
      <protection hidden="1"/>
    </xf>
    <xf numFmtId="0" fontId="19" fillId="7" borderId="1" xfId="0" applyFont="1" applyFill="1" applyBorder="1" applyAlignment="1" applyProtection="1">
      <alignment horizontal="left" vertical="center" shrinkToFit="1"/>
      <protection locked="0"/>
    </xf>
    <xf numFmtId="0" fontId="19" fillId="7" borderId="2" xfId="0" applyFont="1" applyFill="1" applyBorder="1" applyAlignment="1" applyProtection="1">
      <alignment horizontal="left" vertical="center" shrinkToFit="1"/>
      <protection locked="0"/>
    </xf>
    <xf numFmtId="49" fontId="19" fillId="7" borderId="1" xfId="0" applyNumberFormat="1" applyFont="1" applyFill="1" applyBorder="1" applyAlignment="1" applyProtection="1">
      <alignment horizontal="left" vertical="center" shrinkToFit="1"/>
      <protection locked="0"/>
    </xf>
    <xf numFmtId="49" fontId="19" fillId="7" borderId="2" xfId="0" applyNumberFormat="1" applyFont="1" applyFill="1" applyBorder="1" applyAlignment="1" applyProtection="1">
      <alignment horizontal="left" vertical="center" shrinkToFit="1"/>
      <protection locked="0"/>
    </xf>
    <xf numFmtId="49" fontId="19" fillId="0" borderId="1" xfId="0" applyNumberFormat="1" applyFont="1" applyBorder="1" applyAlignment="1" applyProtection="1">
      <alignment horizontal="left" vertical="center" shrinkToFit="1"/>
      <protection locked="0"/>
    </xf>
    <xf numFmtId="49" fontId="19" fillId="0" borderId="2" xfId="0" applyNumberFormat="1" applyFont="1" applyBorder="1" applyAlignment="1" applyProtection="1">
      <alignment horizontal="left" vertical="center" shrinkToFit="1"/>
      <protection locked="0"/>
    </xf>
    <xf numFmtId="0" fontId="124" fillId="19" borderId="2" xfId="0" applyFont="1" applyFill="1" applyBorder="1" applyAlignment="1" applyProtection="1">
      <alignment horizontal="center" vertical="center" shrinkToFit="1"/>
      <protection hidden="1"/>
    </xf>
    <xf numFmtId="0" fontId="104" fillId="19" borderId="5" xfId="0" applyFont="1" applyFill="1" applyBorder="1" applyAlignment="1" applyProtection="1">
      <alignment horizontal="center" vertical="center" shrinkToFit="1"/>
      <protection hidden="1"/>
    </xf>
    <xf numFmtId="0" fontId="104" fillId="19" borderId="3" xfId="0" applyFont="1" applyFill="1" applyBorder="1" applyAlignment="1" applyProtection="1">
      <alignment horizontal="center" vertical="center" shrinkToFit="1"/>
      <protection hidden="1"/>
    </xf>
    <xf numFmtId="0" fontId="60" fillId="0" borderId="13" xfId="0" applyFont="1" applyBorder="1" applyAlignment="1" applyProtection="1">
      <alignment horizontal="center" vertical="center"/>
      <protection hidden="1"/>
    </xf>
    <xf numFmtId="0" fontId="60" fillId="0" borderId="14" xfId="0" applyFont="1" applyBorder="1" applyAlignment="1" applyProtection="1">
      <alignment horizontal="center" vertical="center"/>
      <protection hidden="1"/>
    </xf>
    <xf numFmtId="0" fontId="60" fillId="0" borderId="15" xfId="0" applyFont="1" applyBorder="1" applyAlignment="1" applyProtection="1">
      <alignment horizontal="center" vertical="center"/>
      <protection hidden="1"/>
    </xf>
    <xf numFmtId="0" fontId="84" fillId="0" borderId="1" xfId="0" applyFont="1" applyBorder="1" applyAlignment="1" applyProtection="1">
      <alignment horizontal="center" vertical="center" wrapText="1"/>
      <protection hidden="1"/>
    </xf>
    <xf numFmtId="0" fontId="84" fillId="0" borderId="22" xfId="0" applyFont="1" applyBorder="1" applyAlignment="1" applyProtection="1">
      <alignment horizontal="center" vertical="center" textRotation="90" wrapText="1"/>
      <protection locked="0"/>
    </xf>
    <xf numFmtId="0" fontId="84" fillId="0" borderId="23" xfId="0" applyFont="1" applyBorder="1" applyAlignment="1" applyProtection="1">
      <alignment horizontal="center" vertical="center" textRotation="90" wrapText="1"/>
      <protection locked="0"/>
    </xf>
    <xf numFmtId="0" fontId="37" fillId="0" borderId="2" xfId="0" applyFont="1" applyBorder="1" applyAlignment="1" applyProtection="1">
      <alignment horizontal="right" vertical="center"/>
      <protection hidden="1"/>
    </xf>
    <xf numFmtId="0" fontId="37" fillId="0" borderId="5" xfId="0" applyFont="1" applyBorder="1" applyAlignment="1" applyProtection="1">
      <alignment horizontal="right" vertical="center"/>
      <protection hidden="1"/>
    </xf>
    <xf numFmtId="0" fontId="37" fillId="0" borderId="3" xfId="0" applyFont="1" applyBorder="1" applyAlignment="1" applyProtection="1">
      <alignment horizontal="right" vertical="center"/>
      <protection hidden="1"/>
    </xf>
    <xf numFmtId="0" fontId="37" fillId="0" borderId="13" xfId="0" applyFont="1" applyBorder="1" applyAlignment="1" applyProtection="1">
      <alignment horizontal="left" vertical="center"/>
      <protection hidden="1"/>
    </xf>
    <xf numFmtId="0" fontId="37" fillId="0" borderId="14" xfId="0" applyFont="1" applyBorder="1" applyAlignment="1" applyProtection="1">
      <alignment horizontal="left" vertical="center"/>
      <protection hidden="1"/>
    </xf>
    <xf numFmtId="0" fontId="37" fillId="0" borderId="15" xfId="0" applyFont="1" applyBorder="1" applyAlignment="1" applyProtection="1">
      <alignment horizontal="left" vertical="center"/>
      <protection hidden="1"/>
    </xf>
    <xf numFmtId="0" fontId="189" fillId="0" borderId="1" xfId="0" applyFont="1" applyBorder="1" applyAlignment="1" applyProtection="1">
      <alignment horizontal="center" vertical="center"/>
      <protection hidden="1"/>
    </xf>
    <xf numFmtId="41" fontId="10" fillId="0" borderId="1" xfId="0" applyNumberFormat="1" applyFont="1" applyBorder="1" applyAlignment="1" applyProtection="1">
      <alignment horizontal="center" vertical="center" shrinkToFit="1"/>
      <protection hidden="1"/>
    </xf>
    <xf numFmtId="1" fontId="87" fillId="0" borderId="1" xfId="0" applyNumberFormat="1" applyFont="1" applyBorder="1" applyAlignment="1">
      <alignment horizontal="center" vertical="top" shrinkToFit="1"/>
    </xf>
    <xf numFmtId="1" fontId="87" fillId="0" borderId="1" xfId="0" applyNumberFormat="1" applyFont="1" applyBorder="1" applyAlignment="1" applyProtection="1">
      <alignment horizontal="center" vertical="top" shrinkToFit="1"/>
      <protection hidden="1"/>
    </xf>
    <xf numFmtId="1" fontId="87" fillId="0" borderId="2" xfId="0" applyNumberFormat="1" applyFont="1" applyBorder="1" applyAlignment="1" applyProtection="1">
      <alignment horizontal="center" vertical="top" shrinkToFit="1"/>
      <protection hidden="1"/>
    </xf>
    <xf numFmtId="0" fontId="87" fillId="0" borderId="13" xfId="0" applyFont="1" applyBorder="1" applyAlignment="1">
      <alignment horizontal="center"/>
    </xf>
    <xf numFmtId="0" fontId="87" fillId="0" borderId="16" xfId="0" applyFont="1" applyBorder="1" applyAlignment="1">
      <alignment horizontal="center"/>
    </xf>
    <xf numFmtId="0" fontId="87" fillId="0" borderId="22" xfId="0" applyFont="1" applyBorder="1" applyAlignment="1">
      <alignment horizontal="center"/>
    </xf>
    <xf numFmtId="0" fontId="87" fillId="0" borderId="23" xfId="0" applyFont="1" applyBorder="1" applyAlignment="1">
      <alignment horizontal="center"/>
    </xf>
    <xf numFmtId="0" fontId="87" fillId="0" borderId="15" xfId="0" applyFont="1" applyBorder="1" applyAlignment="1" applyProtection="1">
      <alignment horizontal="center" vertical="center"/>
      <protection hidden="1"/>
    </xf>
    <xf numFmtId="0" fontId="87" fillId="0" borderId="0" xfId="0" applyFont="1" applyAlignment="1" applyProtection="1">
      <alignment horizontal="center" vertical="center"/>
      <protection hidden="1"/>
    </xf>
    <xf numFmtId="0" fontId="87" fillId="0" borderId="12" xfId="0" applyFont="1" applyBorder="1" applyAlignment="1" applyProtection="1">
      <alignment horizontal="center" vertical="center"/>
      <protection hidden="1"/>
    </xf>
    <xf numFmtId="0" fontId="16" fillId="0" borderId="5" xfId="0" applyFont="1" applyBorder="1" applyAlignment="1">
      <alignment horizontal="left"/>
    </xf>
    <xf numFmtId="0" fontId="3" fillId="0" borderId="15" xfId="0" applyFont="1" applyBorder="1" applyAlignment="1">
      <alignment horizontal="center"/>
    </xf>
    <xf numFmtId="0" fontId="3" fillId="0" borderId="26" xfId="0" applyFont="1" applyBorder="1" applyAlignment="1">
      <alignment horizontal="center"/>
    </xf>
    <xf numFmtId="0" fontId="3" fillId="0" borderId="17" xfId="0" applyFont="1" applyBorder="1" applyAlignment="1">
      <alignment horizontal="center"/>
    </xf>
    <xf numFmtId="1" fontId="87" fillId="0" borderId="1" xfId="0" applyNumberFormat="1" applyFont="1" applyBorder="1" applyAlignment="1" applyProtection="1">
      <alignment horizontal="center" vertical="center" shrinkToFit="1"/>
      <protection hidden="1"/>
    </xf>
    <xf numFmtId="0" fontId="3" fillId="0" borderId="10" xfId="0" applyFont="1" applyBorder="1" applyAlignment="1" applyProtection="1">
      <alignment horizontal="left" vertical="center" shrinkToFit="1"/>
      <protection hidden="1"/>
    </xf>
    <xf numFmtId="0" fontId="3" fillId="0" borderId="11" xfId="0" applyFont="1" applyBorder="1" applyAlignment="1" applyProtection="1">
      <alignment horizontal="left" vertical="center" shrinkToFit="1"/>
      <protection hidden="1"/>
    </xf>
    <xf numFmtId="0" fontId="3" fillId="0" borderId="173" xfId="0" applyFont="1" applyBorder="1" applyAlignment="1" applyProtection="1">
      <alignment horizontal="left" vertical="center" shrinkToFit="1"/>
      <protection hidden="1"/>
    </xf>
    <xf numFmtId="41" fontId="10" fillId="0" borderId="4" xfId="0" applyNumberFormat="1" applyFont="1" applyBorder="1" applyAlignment="1" applyProtection="1">
      <alignment horizontal="center" vertical="center" shrinkToFit="1"/>
      <protection hidden="1"/>
    </xf>
    <xf numFmtId="41" fontId="10" fillId="0" borderId="23" xfId="0" applyNumberFormat="1" applyFont="1" applyBorder="1" applyAlignment="1" applyProtection="1">
      <alignment horizontal="center" vertical="center" shrinkToFit="1"/>
      <protection hidden="1"/>
    </xf>
    <xf numFmtId="0" fontId="3" fillId="0" borderId="27" xfId="0" applyFont="1" applyBorder="1" applyAlignment="1" applyProtection="1">
      <alignment horizontal="left" vertical="center" shrinkToFit="1"/>
      <protection hidden="1"/>
    </xf>
    <xf numFmtId="41" fontId="26" fillId="0" borderId="3" xfId="0" applyNumberFormat="1" applyFont="1" applyBorder="1" applyAlignment="1" applyProtection="1">
      <alignment horizontal="center" vertical="center" shrinkToFit="1"/>
      <protection hidden="1"/>
    </xf>
    <xf numFmtId="41" fontId="26" fillId="0" borderId="48" xfId="0" applyNumberFormat="1" applyFont="1" applyBorder="1" applyAlignment="1" applyProtection="1">
      <alignment horizontal="center" vertical="center" shrinkToFit="1"/>
      <protection hidden="1"/>
    </xf>
    <xf numFmtId="0" fontId="0" fillId="0" borderId="1" xfId="0" applyBorder="1" applyAlignment="1">
      <alignment horizontal="center" vertical="center"/>
    </xf>
    <xf numFmtId="0" fontId="126" fillId="8" borderId="1" xfId="0" applyFont="1" applyFill="1" applyBorder="1" applyAlignment="1">
      <alignment horizontal="left" vertical="center"/>
    </xf>
    <xf numFmtId="0" fontId="16" fillId="0" borderId="2" xfId="0" applyFont="1" applyBorder="1" applyAlignment="1" applyProtection="1">
      <alignment horizontal="center" vertical="center"/>
      <protection hidden="1"/>
    </xf>
    <xf numFmtId="0" fontId="16" fillId="0" borderId="5" xfId="0" applyFont="1" applyBorder="1" applyAlignment="1" applyProtection="1">
      <alignment horizontal="center" vertical="center"/>
      <protection hidden="1"/>
    </xf>
    <xf numFmtId="0" fontId="16" fillId="0" borderId="3" xfId="0" applyFont="1" applyBorder="1" applyAlignment="1" applyProtection="1">
      <alignment horizontal="center" vertical="center"/>
      <protection hidden="1"/>
    </xf>
    <xf numFmtId="0" fontId="0" fillId="19" borderId="1" xfId="0" applyFill="1" applyBorder="1" applyAlignment="1">
      <alignment horizontal="center" vertical="center"/>
    </xf>
    <xf numFmtId="9" fontId="0" fillId="0" borderId="1" xfId="0" applyNumberFormat="1" applyBorder="1" applyAlignment="1" applyProtection="1">
      <alignment horizontal="center" vertical="center" wrapText="1"/>
      <protection hidden="1"/>
    </xf>
    <xf numFmtId="0" fontId="0" fillId="0" borderId="1" xfId="0" applyBorder="1" applyAlignment="1">
      <alignment horizontal="center"/>
    </xf>
    <xf numFmtId="0" fontId="9" fillId="9" borderId="1" xfId="0" applyFont="1" applyFill="1" applyBorder="1" applyAlignment="1">
      <alignment vertical="center"/>
    </xf>
    <xf numFmtId="0" fontId="9" fillId="0" borderId="1" xfId="0" applyFont="1" applyBorder="1" applyAlignment="1" applyProtection="1">
      <alignment horizontal="center" vertical="center" wrapText="1"/>
      <protection hidden="1"/>
    </xf>
    <xf numFmtId="0" fontId="0" fillId="0" borderId="1" xfId="0" applyBorder="1" applyAlignment="1" applyProtection="1">
      <alignment horizontal="left" vertical="center"/>
      <protection hidden="1"/>
    </xf>
    <xf numFmtId="0" fontId="0" fillId="0" borderId="1" xfId="0" applyBorder="1" applyAlignment="1" applyProtection="1">
      <alignment horizontal="right" vertical="center" wrapText="1"/>
      <protection hidden="1"/>
    </xf>
    <xf numFmtId="0" fontId="0" fillId="0" borderId="1" xfId="0" applyBorder="1" applyAlignment="1" applyProtection="1">
      <alignment horizontal="center" vertical="center" wrapText="1"/>
      <protection hidden="1"/>
    </xf>
    <xf numFmtId="0" fontId="107" fillId="0" borderId="1" xfId="0" applyFont="1" applyBorder="1" applyAlignment="1" applyProtection="1">
      <alignment horizontal="center" vertical="center" wrapText="1"/>
      <protection hidden="1"/>
    </xf>
    <xf numFmtId="0" fontId="0" fillId="9" borderId="1" xfId="0" applyFill="1" applyBorder="1" applyAlignment="1" applyProtection="1">
      <alignment horizontal="center"/>
      <protection hidden="1"/>
    </xf>
    <xf numFmtId="0" fontId="16" fillId="0" borderId="1" xfId="0" applyFont="1" applyBorder="1" applyAlignment="1" applyProtection="1">
      <alignment horizontal="center" vertical="center"/>
      <protection hidden="1"/>
    </xf>
    <xf numFmtId="0" fontId="0" fillId="0" borderId="1" xfId="0" applyBorder="1" applyAlignment="1" applyProtection="1">
      <alignment horizontal="center"/>
      <protection hidden="1"/>
    </xf>
    <xf numFmtId="0" fontId="107" fillId="0" borderId="22" xfId="0" applyFont="1" applyBorder="1" applyAlignment="1" applyProtection="1">
      <alignment horizontal="center" vertical="center" wrapText="1"/>
      <protection hidden="1"/>
    </xf>
    <xf numFmtId="0" fontId="107" fillId="0" borderId="23" xfId="0" applyFont="1" applyBorder="1" applyAlignment="1" applyProtection="1">
      <alignment horizontal="center" vertical="center" wrapText="1"/>
      <protection hidden="1"/>
    </xf>
    <xf numFmtId="0" fontId="0" fillId="0" borderId="22" xfId="0" applyBorder="1" applyAlignment="1" applyProtection="1">
      <alignment horizontal="center" vertical="center"/>
      <protection hidden="1"/>
    </xf>
    <xf numFmtId="0" fontId="0" fillId="0" borderId="23" xfId="0" applyBorder="1" applyAlignment="1" applyProtection="1">
      <alignment horizontal="center" vertical="center"/>
      <protection hidden="1"/>
    </xf>
    <xf numFmtId="0" fontId="37" fillId="0" borderId="1" xfId="0" applyFont="1" applyBorder="1" applyAlignment="1" applyProtection="1">
      <alignment horizontal="center" vertical="center" wrapText="1"/>
      <protection hidden="1"/>
    </xf>
    <xf numFmtId="0" fontId="121" fillId="0" borderId="1" xfId="0" applyFont="1" applyBorder="1" applyAlignment="1" applyProtection="1">
      <alignment horizontal="center" vertical="center" wrapText="1"/>
      <protection hidden="1"/>
    </xf>
    <xf numFmtId="9" fontId="37" fillId="0" borderId="1" xfId="7" applyFont="1" applyBorder="1" applyAlignment="1" applyProtection="1">
      <alignment horizontal="center" vertical="center" wrapText="1"/>
      <protection hidden="1"/>
    </xf>
    <xf numFmtId="41" fontId="37" fillId="0" borderId="1" xfId="0" applyNumberFormat="1" applyFont="1" applyBorder="1" applyAlignment="1" applyProtection="1">
      <alignment horizontal="center" vertical="center" wrapText="1"/>
      <protection hidden="1"/>
    </xf>
    <xf numFmtId="1" fontId="119" fillId="0" borderId="1" xfId="0" applyNumberFormat="1" applyFont="1" applyBorder="1" applyAlignment="1" applyProtection="1">
      <alignment horizontal="left" vertical="center" shrinkToFit="1"/>
      <protection hidden="1"/>
    </xf>
    <xf numFmtId="1" fontId="27" fillId="0" borderId="1" xfId="0" applyNumberFormat="1" applyFont="1" applyBorder="1" applyAlignment="1" applyProtection="1">
      <alignment horizontal="left" vertical="center" shrinkToFit="1"/>
      <protection hidden="1"/>
    </xf>
    <xf numFmtId="0" fontId="26" fillId="16" borderId="2" xfId="0" applyFont="1" applyFill="1" applyBorder="1" applyAlignment="1" applyProtection="1">
      <alignment horizontal="center" shrinkToFit="1"/>
      <protection hidden="1"/>
    </xf>
    <xf numFmtId="0" fontId="26" fillId="16" borderId="5" xfId="0" applyFont="1" applyFill="1" applyBorder="1" applyAlignment="1" applyProtection="1">
      <alignment horizontal="center" shrinkToFit="1"/>
      <protection hidden="1"/>
    </xf>
    <xf numFmtId="0" fontId="26" fillId="16" borderId="3" xfId="0" applyFont="1" applyFill="1" applyBorder="1" applyAlignment="1" applyProtection="1">
      <alignment horizontal="center" shrinkToFit="1"/>
      <protection hidden="1"/>
    </xf>
    <xf numFmtId="0" fontId="27" fillId="16" borderId="2" xfId="0" applyFont="1" applyFill="1" applyBorder="1" applyAlignment="1" applyProtection="1">
      <alignment horizontal="center" shrinkToFit="1"/>
      <protection hidden="1"/>
    </xf>
    <xf numFmtId="0" fontId="27" fillId="16" borderId="5" xfId="0" applyFont="1" applyFill="1" applyBorder="1" applyAlignment="1" applyProtection="1">
      <alignment horizontal="center" shrinkToFit="1"/>
      <protection hidden="1"/>
    </xf>
    <xf numFmtId="0" fontId="27" fillId="16" borderId="3" xfId="0" applyFont="1" applyFill="1" applyBorder="1" applyAlignment="1" applyProtection="1">
      <alignment horizontal="center" shrinkToFit="1"/>
      <protection hidden="1"/>
    </xf>
    <xf numFmtId="0" fontId="24" fillId="16" borderId="1" xfId="0" applyFont="1" applyFill="1" applyBorder="1" applyAlignment="1" applyProtection="1">
      <alignment horizontal="center" vertical="center"/>
      <protection hidden="1"/>
    </xf>
    <xf numFmtId="0" fontId="25" fillId="7" borderId="1" xfId="0" applyFont="1" applyFill="1" applyBorder="1" applyAlignment="1" applyProtection="1">
      <alignment horizontal="center" vertical="center"/>
      <protection hidden="1"/>
    </xf>
    <xf numFmtId="0" fontId="21" fillId="16" borderId="1" xfId="0" applyFont="1" applyFill="1" applyBorder="1" applyAlignment="1" applyProtection="1">
      <alignment horizontal="center" vertical="center"/>
      <protection hidden="1"/>
    </xf>
    <xf numFmtId="17" fontId="23" fillId="0" borderId="1" xfId="0" applyNumberFormat="1" applyFont="1" applyBorder="1" applyAlignment="1" applyProtection="1">
      <alignment horizontal="center" vertical="center"/>
      <protection hidden="1"/>
    </xf>
    <xf numFmtId="0" fontId="21" fillId="16" borderId="1" xfId="0" applyFont="1" applyFill="1" applyBorder="1" applyAlignment="1" applyProtection="1">
      <alignment horizontal="center"/>
      <protection hidden="1"/>
    </xf>
    <xf numFmtId="0" fontId="21" fillId="0" borderId="1" xfId="0" applyFont="1" applyBorder="1" applyAlignment="1" applyProtection="1">
      <alignment horizontal="center" vertical="top" shrinkToFit="1"/>
      <protection hidden="1"/>
    </xf>
    <xf numFmtId="1" fontId="31" fillId="0" borderId="1" xfId="0" applyNumberFormat="1" applyFont="1" applyBorder="1" applyAlignment="1" applyProtection="1">
      <alignment horizontal="left" vertical="center" shrinkToFit="1"/>
      <protection hidden="1"/>
    </xf>
    <xf numFmtId="41" fontId="27" fillId="0" borderId="2" xfId="0" applyNumberFormat="1" applyFont="1" applyBorder="1" applyAlignment="1" applyProtection="1">
      <alignment horizontal="left" vertical="center" shrinkToFit="1"/>
      <protection hidden="1"/>
    </xf>
    <xf numFmtId="41" fontId="27" fillId="0" borderId="3" xfId="0" applyNumberFormat="1" applyFont="1" applyBorder="1" applyAlignment="1" applyProtection="1">
      <alignment horizontal="left" vertical="center" shrinkToFit="1"/>
      <protection hidden="1"/>
    </xf>
    <xf numFmtId="0" fontId="27" fillId="0" borderId="13" xfId="0" applyFont="1" applyBorder="1" applyAlignment="1" applyProtection="1">
      <alignment horizontal="left" vertical="center" shrinkToFit="1"/>
      <protection hidden="1"/>
    </xf>
    <xf numFmtId="0" fontId="27" fillId="0" borderId="15" xfId="0" applyFont="1" applyBorder="1" applyAlignment="1" applyProtection="1">
      <alignment horizontal="left" vertical="center" shrinkToFit="1"/>
      <protection hidden="1"/>
    </xf>
    <xf numFmtId="0" fontId="184" fillId="0" borderId="0" xfId="0" applyFont="1" applyAlignment="1" applyProtection="1">
      <alignment horizontal="center" vertical="center"/>
      <protection hidden="1"/>
    </xf>
    <xf numFmtId="0" fontId="87" fillId="0" borderId="166" xfId="0" applyFont="1" applyBorder="1" applyAlignment="1">
      <alignment horizontal="center"/>
    </xf>
    <xf numFmtId="0" fontId="87" fillId="0" borderId="167" xfId="0" applyFont="1" applyBorder="1" applyAlignment="1">
      <alignment horizontal="center"/>
    </xf>
    <xf numFmtId="0" fontId="87" fillId="0" borderId="168" xfId="0" applyFont="1" applyBorder="1" applyAlignment="1">
      <alignment horizontal="center"/>
    </xf>
    <xf numFmtId="0" fontId="87" fillId="0" borderId="15" xfId="0" applyFont="1" applyBorder="1" applyAlignment="1">
      <alignment horizontal="center"/>
    </xf>
    <xf numFmtId="0" fontId="87" fillId="0" borderId="26" xfId="0" applyFont="1" applyBorder="1" applyAlignment="1">
      <alignment horizontal="center"/>
    </xf>
    <xf numFmtId="0" fontId="87" fillId="0" borderId="17" xfId="0" applyFont="1" applyBorder="1" applyAlignment="1">
      <alignment horizontal="center"/>
    </xf>
    <xf numFmtId="0" fontId="87" fillId="0" borderId="6" xfId="0" applyFont="1" applyBorder="1" applyAlignment="1">
      <alignment horizontal="center"/>
    </xf>
    <xf numFmtId="0" fontId="3" fillId="0" borderId="2" xfId="0" applyFont="1" applyBorder="1" applyAlignment="1" applyProtection="1">
      <alignment horizontal="center" vertical="center"/>
      <protection hidden="1"/>
    </xf>
    <xf numFmtId="0" fontId="3" fillId="0" borderId="3" xfId="0" applyFont="1" applyBorder="1" applyAlignment="1" applyProtection="1">
      <alignment horizontal="center" vertical="center"/>
      <protection hidden="1"/>
    </xf>
    <xf numFmtId="0" fontId="186" fillId="16" borderId="2" xfId="0" applyFont="1" applyFill="1" applyBorder="1" applyAlignment="1" applyProtection="1">
      <alignment horizontal="center" vertical="center"/>
      <protection hidden="1"/>
    </xf>
    <xf numFmtId="0" fontId="186" fillId="16" borderId="3" xfId="0" applyFont="1" applyFill="1" applyBorder="1" applyAlignment="1" applyProtection="1">
      <alignment horizontal="center" vertical="center"/>
      <protection hidden="1"/>
    </xf>
    <xf numFmtId="41" fontId="10" fillId="0" borderId="22" xfId="0" applyNumberFormat="1" applyFont="1" applyBorder="1" applyAlignment="1" applyProtection="1">
      <alignment horizontal="center" vertical="center" shrinkToFit="1"/>
      <protection hidden="1"/>
    </xf>
    <xf numFmtId="0" fontId="10" fillId="0" borderId="1" xfId="0" applyFont="1" applyBorder="1" applyAlignment="1" applyProtection="1">
      <alignment horizontal="center" vertical="center"/>
      <protection hidden="1"/>
    </xf>
    <xf numFmtId="1" fontId="10" fillId="0" borderId="22" xfId="0" applyNumberFormat="1" applyFont="1" applyBorder="1" applyAlignment="1" applyProtection="1">
      <alignment horizontal="center" vertical="top" shrinkToFit="1"/>
      <protection hidden="1"/>
    </xf>
    <xf numFmtId="1" fontId="10" fillId="0" borderId="4" xfId="0" applyNumberFormat="1" applyFont="1" applyBorder="1" applyAlignment="1" applyProtection="1">
      <alignment horizontal="center" vertical="top" shrinkToFit="1"/>
      <protection hidden="1"/>
    </xf>
    <xf numFmtId="1" fontId="10" fillId="0" borderId="23" xfId="0" applyNumberFormat="1" applyFont="1" applyBorder="1" applyAlignment="1" applyProtection="1">
      <alignment horizontal="center" vertical="top" shrinkToFit="1"/>
      <protection hidden="1"/>
    </xf>
    <xf numFmtId="0" fontId="128" fillId="32" borderId="12" xfId="0" applyFont="1" applyFill="1" applyBorder="1" applyAlignment="1" applyProtection="1">
      <alignment horizontal="center" vertical="top" wrapText="1"/>
      <protection hidden="1"/>
    </xf>
    <xf numFmtId="0" fontId="49" fillId="0" borderId="28" xfId="0" applyFont="1" applyBorder="1" applyAlignment="1" applyProtection="1">
      <alignment horizontal="center" vertical="center"/>
      <protection hidden="1"/>
    </xf>
    <xf numFmtId="0" fontId="49" fillId="0" borderId="29" xfId="0" applyFont="1" applyBorder="1" applyAlignment="1" applyProtection="1">
      <alignment horizontal="center" vertical="center"/>
      <protection hidden="1"/>
    </xf>
    <xf numFmtId="0" fontId="49" fillId="0" borderId="30" xfId="0" applyFont="1" applyBorder="1" applyAlignment="1" applyProtection="1">
      <alignment horizontal="center" vertical="center"/>
      <protection hidden="1"/>
    </xf>
    <xf numFmtId="17" fontId="36" fillId="0" borderId="25" xfId="0" applyNumberFormat="1" applyFont="1" applyBorder="1" applyAlignment="1" applyProtection="1">
      <alignment horizontal="center" vertical="center"/>
      <protection hidden="1"/>
    </xf>
    <xf numFmtId="17" fontId="36" fillId="0" borderId="27" xfId="0" applyNumberFormat="1" applyFont="1" applyBorder="1" applyAlignment="1" applyProtection="1">
      <alignment horizontal="center" vertical="center"/>
      <protection hidden="1"/>
    </xf>
    <xf numFmtId="17" fontId="22" fillId="0" borderId="3" xfId="0" applyNumberFormat="1" applyFont="1" applyBorder="1" applyAlignment="1" applyProtection="1">
      <alignment horizontal="center" vertical="center" shrinkToFit="1"/>
      <protection hidden="1"/>
    </xf>
    <xf numFmtId="0" fontId="22" fillId="0" borderId="1" xfId="0" applyFont="1" applyBorder="1" applyAlignment="1" applyProtection="1">
      <alignment horizontal="center" vertical="center" shrinkToFit="1"/>
      <protection hidden="1"/>
    </xf>
    <xf numFmtId="0" fontId="46" fillId="0" borderId="1" xfId="0" applyFont="1" applyBorder="1" applyAlignment="1" applyProtection="1">
      <alignment horizontal="center" vertical="center"/>
      <protection hidden="1"/>
    </xf>
    <xf numFmtId="1" fontId="47" fillId="0" borderId="1" xfId="0" applyNumberFormat="1" applyFont="1" applyBorder="1" applyAlignment="1" applyProtection="1">
      <alignment horizontal="center" vertical="center" shrinkToFit="1"/>
      <protection locked="0"/>
    </xf>
    <xf numFmtId="1" fontId="47" fillId="0" borderId="1" xfId="0" applyNumberFormat="1" applyFont="1" applyBorder="1" applyAlignment="1" applyProtection="1">
      <alignment horizontal="right" vertical="center" shrinkToFit="1"/>
      <protection locked="0"/>
    </xf>
    <xf numFmtId="1" fontId="47" fillId="0" borderId="2" xfId="0" applyNumberFormat="1" applyFont="1" applyBorder="1" applyAlignment="1" applyProtection="1">
      <alignment horizontal="right" vertical="center" shrinkToFit="1"/>
      <protection locked="0"/>
    </xf>
    <xf numFmtId="17" fontId="36" fillId="0" borderId="9" xfId="0" applyNumberFormat="1" applyFont="1" applyBorder="1" applyAlignment="1" applyProtection="1">
      <alignment horizontal="center" vertical="center"/>
      <protection hidden="1"/>
    </xf>
    <xf numFmtId="17" fontId="36" fillId="0" borderId="1" xfId="0" applyNumberFormat="1" applyFont="1" applyBorder="1" applyAlignment="1" applyProtection="1">
      <alignment horizontal="center" vertical="center"/>
      <protection hidden="1"/>
    </xf>
    <xf numFmtId="17" fontId="36" fillId="0" borderId="10" xfId="0" applyNumberFormat="1" applyFont="1" applyBorder="1" applyAlignment="1" applyProtection="1">
      <alignment horizontal="center" vertical="center"/>
      <protection hidden="1"/>
    </xf>
    <xf numFmtId="17" fontId="36" fillId="0" borderId="11" xfId="0" applyNumberFormat="1" applyFont="1" applyBorder="1" applyAlignment="1" applyProtection="1">
      <alignment horizontal="center" vertical="center"/>
      <protection hidden="1"/>
    </xf>
    <xf numFmtId="2" fontId="44" fillId="0" borderId="1" xfId="0" applyNumberFormat="1" applyFont="1" applyBorder="1" applyAlignment="1">
      <alignment horizontal="center" vertical="center" shrinkToFit="1"/>
    </xf>
    <xf numFmtId="0" fontId="42" fillId="0" borderId="1" xfId="0" applyFont="1" applyBorder="1" applyAlignment="1" applyProtection="1">
      <alignment horizontal="center" vertical="center" shrinkToFit="1"/>
      <protection hidden="1"/>
    </xf>
    <xf numFmtId="1" fontId="42" fillId="0" borderId="1" xfId="0" applyNumberFormat="1" applyFont="1" applyBorder="1" applyAlignment="1" applyProtection="1">
      <alignment horizontal="center" vertical="center" shrinkToFit="1"/>
      <protection hidden="1"/>
    </xf>
    <xf numFmtId="1" fontId="43" fillId="0" borderId="1" xfId="0" quotePrefix="1" applyNumberFormat="1" applyFont="1" applyBorder="1" applyAlignment="1" applyProtection="1">
      <alignment horizontal="center" vertical="center" shrinkToFit="1"/>
      <protection hidden="1"/>
    </xf>
    <xf numFmtId="0" fontId="43" fillId="0" borderId="1" xfId="0" applyFont="1" applyBorder="1" applyAlignment="1" applyProtection="1">
      <alignment horizontal="center" vertical="center" shrinkToFit="1"/>
      <protection hidden="1"/>
    </xf>
    <xf numFmtId="0" fontId="48" fillId="0" borderId="1" xfId="0" applyFont="1" applyBorder="1" applyAlignment="1" applyProtection="1">
      <alignment horizontal="center" vertical="center"/>
      <protection hidden="1"/>
    </xf>
    <xf numFmtId="0" fontId="48" fillId="0" borderId="23" xfId="0" applyFont="1" applyBorder="1" applyAlignment="1" applyProtection="1">
      <alignment horizontal="center" vertical="center"/>
      <protection hidden="1"/>
    </xf>
    <xf numFmtId="0" fontId="21" fillId="0" borderId="13" xfId="0" applyFont="1" applyBorder="1" applyAlignment="1" applyProtection="1">
      <alignment horizontal="center" vertical="center" wrapText="1"/>
      <protection hidden="1"/>
    </xf>
    <xf numFmtId="0" fontId="21" fillId="0" borderId="14" xfId="0" applyFont="1" applyBorder="1" applyAlignment="1" applyProtection="1">
      <alignment horizontal="center" vertical="center" wrapText="1"/>
      <protection hidden="1"/>
    </xf>
    <xf numFmtId="0" fontId="21" fillId="0" borderId="15" xfId="0" applyFont="1" applyBorder="1" applyAlignment="1" applyProtection="1">
      <alignment horizontal="center" vertical="center" wrapText="1"/>
      <protection hidden="1"/>
    </xf>
    <xf numFmtId="0" fontId="30" fillId="0" borderId="9" xfId="0" applyFont="1" applyBorder="1" applyAlignment="1" applyProtection="1">
      <alignment horizontal="center" vertical="center"/>
      <protection hidden="1"/>
    </xf>
    <xf numFmtId="0" fontId="30" fillId="0" borderId="1" xfId="0" applyFont="1" applyBorder="1" applyAlignment="1" applyProtection="1">
      <alignment horizontal="center" vertical="center"/>
      <protection hidden="1"/>
    </xf>
    <xf numFmtId="0" fontId="41" fillId="0" borderId="1" xfId="0" applyFont="1" applyBorder="1" applyAlignment="1" applyProtection="1">
      <alignment horizontal="center" vertical="center" wrapText="1"/>
      <protection hidden="1"/>
    </xf>
    <xf numFmtId="0" fontId="21" fillId="0" borderId="1" xfId="0" applyFont="1" applyBorder="1" applyAlignment="1" applyProtection="1">
      <alignment horizontal="center" vertical="center" wrapText="1"/>
      <protection hidden="1"/>
    </xf>
    <xf numFmtId="0" fontId="22" fillId="0" borderId="1" xfId="0" applyFont="1" applyBorder="1" applyAlignment="1" applyProtection="1">
      <alignment horizontal="center" vertical="center"/>
      <protection hidden="1"/>
    </xf>
    <xf numFmtId="0" fontId="22" fillId="0" borderId="2" xfId="0" applyFont="1" applyBorder="1" applyAlignment="1" applyProtection="1">
      <alignment horizontal="center" vertical="center"/>
      <protection hidden="1"/>
    </xf>
    <xf numFmtId="0" fontId="22" fillId="0" borderId="5" xfId="0" applyFont="1" applyBorder="1" applyAlignment="1" applyProtection="1">
      <alignment horizontal="center" vertical="center"/>
      <protection hidden="1"/>
    </xf>
    <xf numFmtId="0" fontId="22" fillId="0" borderId="3" xfId="0" applyFont="1" applyBorder="1" applyAlignment="1" applyProtection="1">
      <alignment horizontal="center" vertical="center"/>
      <protection hidden="1"/>
    </xf>
    <xf numFmtId="169" fontId="30" fillId="0" borderId="2" xfId="0" applyNumberFormat="1" applyFont="1" applyBorder="1" applyAlignment="1" applyProtection="1">
      <alignment horizontal="center" vertical="center" shrinkToFit="1"/>
      <protection hidden="1"/>
    </xf>
    <xf numFmtId="169" fontId="30" fillId="0" borderId="5" xfId="0" applyNumberFormat="1" applyFont="1" applyBorder="1" applyAlignment="1" applyProtection="1">
      <alignment horizontal="center" vertical="center" shrinkToFit="1"/>
      <protection hidden="1"/>
    </xf>
    <xf numFmtId="169" fontId="30" fillId="0" borderId="3" xfId="0" applyNumberFormat="1" applyFont="1" applyBorder="1" applyAlignment="1" applyProtection="1">
      <alignment horizontal="center" vertical="center" shrinkToFit="1"/>
      <protection hidden="1"/>
    </xf>
    <xf numFmtId="1" fontId="22" fillId="0" borderId="1" xfId="0" applyNumberFormat="1" applyFont="1" applyBorder="1" applyAlignment="1" applyProtection="1">
      <alignment horizontal="center" vertical="center" shrinkToFit="1"/>
      <protection hidden="1"/>
    </xf>
    <xf numFmtId="0" fontId="192" fillId="4" borderId="1" xfId="0" applyFont="1" applyFill="1" applyBorder="1" applyAlignment="1">
      <alignment horizontal="center" vertical="center" wrapText="1"/>
    </xf>
    <xf numFmtId="41" fontId="52" fillId="0" borderId="46" xfId="6" applyNumberFormat="1" applyFont="1" applyFill="1" applyBorder="1" applyAlignment="1" applyProtection="1">
      <alignment horizontal="center" vertical="center" shrinkToFit="1"/>
      <protection hidden="1"/>
    </xf>
    <xf numFmtId="41" fontId="52" fillId="0" borderId="95" xfId="6" applyNumberFormat="1" applyFont="1" applyFill="1" applyBorder="1" applyAlignment="1" applyProtection="1">
      <alignment horizontal="center" vertical="center" shrinkToFit="1"/>
      <protection hidden="1"/>
    </xf>
    <xf numFmtId="41" fontId="52" fillId="0" borderId="36" xfId="6" applyNumberFormat="1" applyFont="1" applyFill="1" applyBorder="1" applyAlignment="1" applyProtection="1">
      <alignment horizontal="center" vertical="center" shrinkToFit="1"/>
      <protection hidden="1"/>
    </xf>
    <xf numFmtId="0" fontId="27" fillId="0" borderId="5" xfId="0" applyFont="1" applyBorder="1" applyAlignment="1">
      <alignment horizontal="left" vertical="center"/>
    </xf>
    <xf numFmtId="0" fontId="27" fillId="0" borderId="2" xfId="0" applyFont="1" applyBorder="1" applyAlignment="1">
      <alignment horizontal="center" vertical="center" shrinkToFit="1"/>
    </xf>
    <xf numFmtId="0" fontId="27" fillId="0" borderId="5" xfId="0" applyFont="1" applyBorder="1" applyAlignment="1">
      <alignment horizontal="center" vertical="center" shrinkToFit="1"/>
    </xf>
    <xf numFmtId="0" fontId="106" fillId="0" borderId="5" xfId="0" applyFont="1" applyBorder="1" applyAlignment="1">
      <alignment horizontal="left" vertical="center" shrinkToFit="1"/>
    </xf>
    <xf numFmtId="0" fontId="106" fillId="0" borderId="3" xfId="0" applyFont="1" applyBorder="1" applyAlignment="1">
      <alignment horizontal="left" vertical="center" shrinkToFit="1"/>
    </xf>
    <xf numFmtId="0" fontId="38" fillId="0" borderId="1" xfId="0" applyFont="1" applyBorder="1" applyAlignment="1" applyProtection="1">
      <alignment horizontal="center" vertical="center" shrinkToFit="1"/>
      <protection hidden="1"/>
    </xf>
    <xf numFmtId="1" fontId="38" fillId="0" borderId="2" xfId="0" applyNumberFormat="1" applyFont="1" applyBorder="1" applyAlignment="1" applyProtection="1">
      <alignment horizontal="center" vertical="center" shrinkToFit="1"/>
      <protection hidden="1"/>
    </xf>
    <xf numFmtId="1" fontId="38" fillId="0" borderId="5" xfId="0" applyNumberFormat="1" applyFont="1" applyBorder="1" applyAlignment="1" applyProtection="1">
      <alignment horizontal="center" vertical="center" shrinkToFit="1"/>
      <protection hidden="1"/>
    </xf>
    <xf numFmtId="1" fontId="38" fillId="0" borderId="3" xfId="0" applyNumberFormat="1" applyFont="1" applyBorder="1" applyAlignment="1" applyProtection="1">
      <alignment horizontal="center" vertical="center" shrinkToFit="1"/>
      <protection hidden="1"/>
    </xf>
    <xf numFmtId="1" fontId="38" fillId="0" borderId="1" xfId="0" applyNumberFormat="1" applyFont="1" applyBorder="1" applyAlignment="1" applyProtection="1">
      <alignment horizontal="center" vertical="center" shrinkToFit="1"/>
      <protection hidden="1"/>
    </xf>
    <xf numFmtId="0" fontId="38" fillId="0" borderId="7" xfId="0" applyFont="1" applyBorder="1" applyAlignment="1" applyProtection="1">
      <alignment horizontal="center" vertical="center"/>
      <protection hidden="1"/>
    </xf>
    <xf numFmtId="0" fontId="38" fillId="0" borderId="8" xfId="0" applyFont="1" applyBorder="1" applyAlignment="1" applyProtection="1">
      <alignment horizontal="center" vertical="center"/>
      <protection hidden="1"/>
    </xf>
    <xf numFmtId="0" fontId="38" fillId="0" borderId="24" xfId="0" applyFont="1" applyBorder="1" applyAlignment="1" applyProtection="1">
      <alignment horizontal="center" vertical="center"/>
      <protection hidden="1"/>
    </xf>
    <xf numFmtId="169" fontId="22" fillId="0" borderId="2" xfId="0" applyNumberFormat="1" applyFont="1" applyBorder="1" applyAlignment="1" applyProtection="1">
      <alignment horizontal="center" vertical="center" shrinkToFit="1"/>
      <protection hidden="1"/>
    </xf>
    <xf numFmtId="169" fontId="22" fillId="0" borderId="5" xfId="0" applyNumberFormat="1" applyFont="1" applyBorder="1" applyAlignment="1" applyProtection="1">
      <alignment horizontal="center" vertical="center" shrinkToFit="1"/>
      <protection hidden="1"/>
    </xf>
    <xf numFmtId="169" fontId="22" fillId="0" borderId="3" xfId="0" applyNumberFormat="1" applyFont="1" applyBorder="1" applyAlignment="1" applyProtection="1">
      <alignment horizontal="center" vertical="center" shrinkToFit="1"/>
      <protection hidden="1"/>
    </xf>
    <xf numFmtId="0" fontId="26" fillId="0" borderId="0" xfId="0" applyFont="1" applyAlignment="1" applyProtection="1">
      <alignment horizontal="left" vertical="center"/>
      <protection hidden="1"/>
    </xf>
    <xf numFmtId="0" fontId="26" fillId="0" borderId="26" xfId="0" applyFont="1" applyBorder="1" applyAlignment="1" applyProtection="1">
      <alignment horizontal="left" vertical="center"/>
      <protection hidden="1"/>
    </xf>
    <xf numFmtId="0" fontId="27" fillId="0" borderId="12" xfId="0" applyFont="1" applyBorder="1" applyAlignment="1" applyProtection="1">
      <alignment horizontal="left" vertical="top"/>
      <protection hidden="1"/>
    </xf>
    <xf numFmtId="0" fontId="27" fillId="0" borderId="17" xfId="0" applyFont="1" applyBorder="1" applyAlignment="1" applyProtection="1">
      <alignment horizontal="left" vertical="top"/>
      <protection hidden="1"/>
    </xf>
    <xf numFmtId="3" fontId="26" fillId="0" borderId="54" xfId="0" applyNumberFormat="1" applyFont="1" applyBorder="1" applyAlignment="1" applyProtection="1">
      <alignment horizontal="center" vertical="center" shrinkToFit="1"/>
      <protection hidden="1"/>
    </xf>
    <xf numFmtId="0" fontId="26" fillId="0" borderId="54" xfId="0" applyFont="1" applyBorder="1" applyAlignment="1" applyProtection="1">
      <alignment horizontal="center" vertical="center" shrinkToFit="1"/>
      <protection hidden="1"/>
    </xf>
    <xf numFmtId="1" fontId="26" fillId="0" borderId="54" xfId="0" applyNumberFormat="1" applyFont="1" applyBorder="1" applyAlignment="1">
      <alignment horizontal="center" vertical="center" shrinkToFit="1"/>
    </xf>
    <xf numFmtId="1" fontId="26" fillId="0" borderId="54" xfId="0" applyNumberFormat="1" applyFont="1" applyBorder="1" applyAlignment="1" applyProtection="1">
      <alignment horizontal="center" vertical="center" shrinkToFit="1"/>
      <protection locked="0"/>
    </xf>
    <xf numFmtId="0" fontId="28" fillId="0" borderId="56" xfId="0" applyFont="1" applyBorder="1" applyAlignment="1" applyProtection="1">
      <alignment horizontal="center" vertical="center"/>
      <protection hidden="1"/>
    </xf>
    <xf numFmtId="0" fontId="28" fillId="0" borderId="57" xfId="0" applyFont="1" applyBorder="1" applyAlignment="1" applyProtection="1">
      <alignment horizontal="center" vertical="center"/>
      <protection hidden="1"/>
    </xf>
    <xf numFmtId="0" fontId="28" fillId="0" borderId="58" xfId="0" applyFont="1" applyBorder="1" applyAlignment="1" applyProtection="1">
      <alignment horizontal="center" vertical="center"/>
      <protection hidden="1"/>
    </xf>
    <xf numFmtId="0" fontId="57" fillId="0" borderId="51" xfId="0" applyFont="1" applyBorder="1" applyAlignment="1" applyProtection="1">
      <alignment horizontal="justify" vertical="center" wrapText="1"/>
      <protection hidden="1"/>
    </xf>
    <xf numFmtId="0" fontId="57" fillId="0" borderId="52" xfId="0" applyFont="1" applyBorder="1" applyAlignment="1" applyProtection="1">
      <alignment horizontal="justify" vertical="center" wrapText="1"/>
      <protection hidden="1"/>
    </xf>
    <xf numFmtId="0" fontId="57" fillId="0" borderId="44" xfId="0" applyFont="1" applyBorder="1" applyAlignment="1" applyProtection="1">
      <alignment horizontal="justify" vertical="center" wrapText="1"/>
      <protection hidden="1"/>
    </xf>
    <xf numFmtId="0" fontId="57" fillId="0" borderId="6" xfId="0" applyFont="1" applyBorder="1" applyAlignment="1" applyProtection="1">
      <alignment horizontal="justify" vertical="center" wrapText="1"/>
      <protection hidden="1"/>
    </xf>
    <xf numFmtId="0" fontId="57" fillId="0" borderId="0" xfId="0" applyFont="1" applyAlignment="1" applyProtection="1">
      <alignment horizontal="justify" vertical="center" wrapText="1"/>
      <protection hidden="1"/>
    </xf>
    <xf numFmtId="0" fontId="57" fillId="0" borderId="26" xfId="0" applyFont="1" applyBorder="1" applyAlignment="1" applyProtection="1">
      <alignment horizontal="justify" vertical="center" wrapText="1"/>
      <protection hidden="1"/>
    </xf>
    <xf numFmtId="0" fontId="29" fillId="0" borderId="0" xfId="0" applyFont="1" applyAlignment="1" applyProtection="1">
      <alignment horizontal="left" vertical="center" wrapText="1"/>
      <protection hidden="1"/>
    </xf>
    <xf numFmtId="0" fontId="29" fillId="0" borderId="26" xfId="0" applyFont="1" applyBorder="1" applyAlignment="1" applyProtection="1">
      <alignment horizontal="left" vertical="center" wrapText="1"/>
      <protection hidden="1"/>
    </xf>
    <xf numFmtId="0" fontId="45" fillId="0" borderId="54" xfId="0" applyFont="1" applyBorder="1" applyAlignment="1" applyProtection="1">
      <alignment horizontal="center" vertical="center" shrinkToFit="1"/>
      <protection hidden="1"/>
    </xf>
    <xf numFmtId="14" fontId="26" fillId="0" borderId="0" xfId="0" applyNumberFormat="1" applyFont="1" applyAlignment="1" applyProtection="1">
      <alignment horizontal="left" vertical="center"/>
      <protection hidden="1"/>
    </xf>
    <xf numFmtId="0" fontId="26" fillId="0" borderId="39" xfId="0" applyFont="1" applyBorder="1" applyAlignment="1" applyProtection="1">
      <alignment horizontal="left" vertical="center" shrinkToFit="1"/>
      <protection hidden="1"/>
    </xf>
    <xf numFmtId="0" fontId="26" fillId="0" borderId="41" xfId="0" applyFont="1" applyBorder="1" applyAlignment="1" applyProtection="1">
      <alignment horizontal="left" vertical="center" shrinkToFit="1"/>
      <protection hidden="1"/>
    </xf>
    <xf numFmtId="0" fontId="28" fillId="0" borderId="38" xfId="0" applyFont="1" applyBorder="1" applyAlignment="1" applyProtection="1">
      <alignment horizontal="center" vertical="center" shrinkToFit="1"/>
      <protection hidden="1"/>
    </xf>
    <xf numFmtId="0" fontId="28" fillId="0" borderId="39" xfId="0" applyFont="1" applyBorder="1" applyAlignment="1" applyProtection="1">
      <alignment horizontal="center" vertical="center" shrinkToFit="1"/>
      <protection hidden="1"/>
    </xf>
    <xf numFmtId="0" fontId="28" fillId="0" borderId="40" xfId="0" applyFont="1" applyBorder="1" applyAlignment="1" applyProtection="1">
      <alignment horizontal="center" vertical="center" shrinkToFit="1"/>
      <protection hidden="1"/>
    </xf>
    <xf numFmtId="0" fontId="27" fillId="0" borderId="51" xfId="0" applyFont="1" applyBorder="1" applyAlignment="1" applyProtection="1">
      <alignment horizontal="center" vertical="center" shrinkToFit="1"/>
      <protection hidden="1"/>
    </xf>
    <xf numFmtId="0" fontId="27" fillId="0" borderId="52" xfId="0" applyFont="1" applyBorder="1" applyAlignment="1" applyProtection="1">
      <alignment horizontal="center" vertical="center" shrinkToFit="1"/>
      <protection hidden="1"/>
    </xf>
    <xf numFmtId="0" fontId="27" fillId="0" borderId="44" xfId="0" applyFont="1" applyBorder="1" applyAlignment="1" applyProtection="1">
      <alignment horizontal="center" vertical="center" shrinkToFit="1"/>
      <protection hidden="1"/>
    </xf>
    <xf numFmtId="0" fontId="27" fillId="0" borderId="53" xfId="0" applyFont="1" applyBorder="1" applyAlignment="1" applyProtection="1">
      <alignment horizontal="center" vertical="center" textRotation="90"/>
      <protection hidden="1"/>
    </xf>
    <xf numFmtId="0" fontId="29" fillId="0" borderId="54" xfId="0" applyFont="1" applyBorder="1" applyAlignment="1" applyProtection="1">
      <alignment horizontal="center" vertical="center" wrapText="1" shrinkToFit="1"/>
      <protection hidden="1"/>
    </xf>
    <xf numFmtId="0" fontId="27" fillId="0" borderId="54" xfId="0" applyFont="1" applyBorder="1" applyAlignment="1" applyProtection="1">
      <alignment horizontal="center" vertical="center"/>
      <protection hidden="1"/>
    </xf>
    <xf numFmtId="0" fontId="27" fillId="0" borderId="54" xfId="0" applyFont="1" applyBorder="1" applyAlignment="1" applyProtection="1">
      <alignment horizontal="center" vertical="center" wrapText="1"/>
      <protection hidden="1"/>
    </xf>
    <xf numFmtId="0" fontId="27" fillId="0" borderId="55" xfId="0" applyFont="1" applyBorder="1" applyAlignment="1" applyProtection="1">
      <alignment horizontal="center" vertical="center"/>
      <protection hidden="1"/>
    </xf>
    <xf numFmtId="0" fontId="81" fillId="0" borderId="54" xfId="0" applyFont="1" applyBorder="1" applyAlignment="1" applyProtection="1">
      <alignment horizontal="center" vertical="center" wrapText="1"/>
      <protection hidden="1"/>
    </xf>
    <xf numFmtId="171" fontId="82" fillId="0" borderId="54" xfId="6" applyNumberFormat="1" applyFont="1" applyFill="1" applyBorder="1" applyAlignment="1" applyProtection="1">
      <alignment horizontal="center" vertical="center" wrapText="1"/>
      <protection hidden="1"/>
    </xf>
    <xf numFmtId="165" fontId="82" fillId="0" borderId="55" xfId="6" applyNumberFormat="1" applyFont="1" applyFill="1" applyBorder="1" applyAlignment="1" applyProtection="1">
      <alignment horizontal="center" vertical="center" wrapText="1"/>
      <protection hidden="1"/>
    </xf>
    <xf numFmtId="0" fontId="74" fillId="0" borderId="0" xfId="0" applyFont="1" applyAlignment="1" applyProtection="1">
      <alignment horizontal="justify" vertical="center" wrapText="1"/>
      <protection hidden="1"/>
    </xf>
    <xf numFmtId="0" fontId="74" fillId="0" borderId="26" xfId="0" applyFont="1" applyBorder="1" applyAlignment="1" applyProtection="1">
      <alignment horizontal="justify" vertical="center" wrapText="1"/>
      <protection hidden="1"/>
    </xf>
    <xf numFmtId="0" fontId="101" fillId="8" borderId="1" xfId="0" applyFont="1" applyFill="1" applyBorder="1" applyAlignment="1">
      <alignment horizontal="center" vertical="center"/>
    </xf>
    <xf numFmtId="0" fontId="35" fillId="0" borderId="0" xfId="0" applyFont="1" applyAlignment="1" applyProtection="1">
      <alignment horizontal="right" vertical="center" wrapText="1"/>
      <protection hidden="1"/>
    </xf>
    <xf numFmtId="1" fontId="35" fillId="0" borderId="0" xfId="0" applyNumberFormat="1" applyFont="1" applyAlignment="1" applyProtection="1">
      <alignment horizontal="left" vertical="center" shrinkToFit="1"/>
      <protection hidden="1"/>
    </xf>
    <xf numFmtId="1" fontId="35" fillId="0" borderId="26" xfId="0" applyNumberFormat="1" applyFont="1" applyBorder="1" applyAlignment="1" applyProtection="1">
      <alignment horizontal="left" vertical="center" shrinkToFit="1"/>
      <protection hidden="1"/>
    </xf>
    <xf numFmtId="0" fontId="69" fillId="0" borderId="13" xfId="0" applyFont="1" applyBorder="1" applyAlignment="1" applyProtection="1">
      <alignment horizontal="center" vertical="center"/>
      <protection hidden="1"/>
    </xf>
    <xf numFmtId="0" fontId="69" fillId="0" borderId="14" xfId="0" applyFont="1" applyBorder="1" applyAlignment="1" applyProtection="1">
      <alignment horizontal="center" vertical="center"/>
      <protection hidden="1"/>
    </xf>
    <xf numFmtId="0" fontId="69" fillId="0" borderId="15" xfId="0" applyFont="1" applyBorder="1" applyAlignment="1" applyProtection="1">
      <alignment horizontal="center" vertical="center"/>
      <protection hidden="1"/>
    </xf>
    <xf numFmtId="0" fontId="35" fillId="0" borderId="6" xfId="0" applyFont="1" applyBorder="1" applyAlignment="1" applyProtection="1">
      <alignment horizontal="center"/>
      <protection hidden="1"/>
    </xf>
    <xf numFmtId="0" fontId="35" fillId="0" borderId="0" xfId="0" applyFont="1" applyAlignment="1" applyProtection="1">
      <alignment horizontal="center"/>
      <protection hidden="1"/>
    </xf>
    <xf numFmtId="0" fontId="35" fillId="0" borderId="26" xfId="0" applyFont="1" applyBorder="1" applyAlignment="1" applyProtection="1">
      <alignment horizontal="center"/>
      <protection hidden="1"/>
    </xf>
    <xf numFmtId="0" fontId="35" fillId="0" borderId="0" xfId="0" applyFont="1" applyAlignment="1" applyProtection="1">
      <alignment horizontal="justify" vertical="center" wrapText="1"/>
      <protection hidden="1"/>
    </xf>
    <xf numFmtId="0" fontId="35" fillId="0" borderId="26" xfId="0" applyFont="1" applyBorder="1" applyAlignment="1" applyProtection="1">
      <alignment horizontal="justify" vertical="center" wrapText="1"/>
      <protection hidden="1"/>
    </xf>
    <xf numFmtId="0" fontId="0" fillId="0" borderId="0" xfId="0" applyAlignment="1" applyProtection="1">
      <alignment horizontal="left" vertical="center"/>
      <protection locked="0"/>
    </xf>
    <xf numFmtId="1" fontId="73" fillId="0" borderId="0" xfId="0" applyNumberFormat="1" applyFont="1" applyAlignment="1">
      <alignment horizontal="left" vertical="center" shrinkToFit="1"/>
    </xf>
    <xf numFmtId="1" fontId="73" fillId="0" borderId="26" xfId="0" applyNumberFormat="1" applyFont="1" applyBorder="1" applyAlignment="1">
      <alignment horizontal="left" vertical="center" shrinkToFit="1"/>
    </xf>
    <xf numFmtId="0" fontId="90" fillId="0" borderId="2" xfId="0" applyFont="1" applyBorder="1" applyAlignment="1" applyProtection="1">
      <alignment horizontal="center" vertical="center" wrapText="1"/>
      <protection hidden="1"/>
    </xf>
    <xf numFmtId="0" fontId="90" fillId="0" borderId="5" xfId="0" applyFont="1" applyBorder="1" applyAlignment="1" applyProtection="1">
      <alignment horizontal="center" vertical="center" wrapText="1"/>
      <protection hidden="1"/>
    </xf>
    <xf numFmtId="0" fontId="90" fillId="0" borderId="3" xfId="0" applyFont="1" applyBorder="1" applyAlignment="1" applyProtection="1">
      <alignment horizontal="center" vertical="center" wrapText="1"/>
      <protection hidden="1"/>
    </xf>
    <xf numFmtId="1" fontId="27" fillId="0" borderId="0" xfId="0" applyNumberFormat="1" applyFont="1" applyAlignment="1" applyProtection="1">
      <alignment horizontal="left" vertical="center" shrinkToFit="1"/>
      <protection hidden="1"/>
    </xf>
    <xf numFmtId="1" fontId="27" fillId="0" borderId="26" xfId="0" applyNumberFormat="1" applyFont="1" applyBorder="1" applyAlignment="1" applyProtection="1">
      <alignment horizontal="left" vertical="center" shrinkToFit="1"/>
      <protection hidden="1"/>
    </xf>
    <xf numFmtId="0" fontId="163" fillId="0" borderId="141" xfId="0" applyFont="1" applyBorder="1" applyAlignment="1">
      <alignment horizontal="center" vertical="center"/>
    </xf>
    <xf numFmtId="0" fontId="163" fillId="0" borderId="142" xfId="0" applyFont="1" applyBorder="1" applyAlignment="1">
      <alignment horizontal="center" vertical="center"/>
    </xf>
    <xf numFmtId="0" fontId="163" fillId="0" borderId="144" xfId="0" applyFont="1" applyBorder="1" applyAlignment="1">
      <alignment horizontal="center" vertical="center"/>
    </xf>
    <xf numFmtId="0" fontId="0" fillId="9" borderId="12" xfId="0" applyFill="1" applyBorder="1" applyAlignment="1">
      <alignment horizontal="center"/>
    </xf>
    <xf numFmtId="0" fontId="163" fillId="0" borderId="145" xfId="0" applyFont="1" applyBorder="1" applyAlignment="1">
      <alignment horizontal="center" vertical="center" wrapText="1"/>
    </xf>
    <xf numFmtId="0" fontId="163" fillId="0" borderId="142" xfId="0" applyFont="1" applyBorder="1" applyAlignment="1">
      <alignment horizontal="center" vertical="center" wrapText="1"/>
    </xf>
    <xf numFmtId="0" fontId="163" fillId="0" borderId="144" xfId="0" applyFont="1" applyBorder="1" applyAlignment="1">
      <alignment horizontal="center" vertical="center" wrapText="1"/>
    </xf>
    <xf numFmtId="0" fontId="163" fillId="0" borderId="141" xfId="0" applyFont="1" applyBorder="1" applyAlignment="1">
      <alignment horizontal="center" vertical="center" wrapText="1"/>
    </xf>
    <xf numFmtId="0" fontId="163" fillId="0" borderId="143" xfId="0" applyFont="1" applyBorder="1" applyAlignment="1">
      <alignment horizontal="center" vertical="center" wrapText="1"/>
    </xf>
    <xf numFmtId="0" fontId="161" fillId="0" borderId="1" xfId="0" applyFont="1" applyBorder="1" applyAlignment="1">
      <alignment horizontal="center" vertical="center"/>
    </xf>
    <xf numFmtId="0" fontId="0" fillId="0" borderId="17" xfId="0" applyBorder="1" applyAlignment="1">
      <alignment horizontal="center"/>
    </xf>
    <xf numFmtId="0" fontId="0" fillId="0" borderId="23" xfId="0" applyBorder="1" applyAlignment="1">
      <alignment horizontal="center"/>
    </xf>
    <xf numFmtId="0" fontId="0" fillId="0" borderId="16" xfId="0" applyBorder="1" applyAlignment="1">
      <alignment horizontal="center"/>
    </xf>
    <xf numFmtId="0" fontId="0" fillId="0" borderId="136" xfId="0" applyBorder="1" applyAlignment="1">
      <alignment horizontal="center"/>
    </xf>
    <xf numFmtId="0" fontId="0" fillId="0" borderId="137" xfId="0" applyBorder="1" applyAlignment="1">
      <alignment horizontal="center"/>
    </xf>
    <xf numFmtId="0" fontId="87" fillId="8" borderId="81" xfId="0" applyFont="1" applyFill="1" applyBorder="1" applyAlignment="1">
      <alignment horizontal="justify" vertical="center" wrapText="1"/>
    </xf>
    <xf numFmtId="0" fontId="87" fillId="8" borderId="82" xfId="0" applyFont="1" applyFill="1" applyBorder="1" applyAlignment="1">
      <alignment horizontal="justify" vertical="center" wrapText="1"/>
    </xf>
    <xf numFmtId="0" fontId="87" fillId="8" borderId="83" xfId="0" applyFont="1" applyFill="1" applyBorder="1" applyAlignment="1">
      <alignment horizontal="justify" vertical="center" wrapText="1"/>
    </xf>
    <xf numFmtId="0" fontId="90" fillId="0" borderId="1" xfId="0" applyFont="1" applyBorder="1" applyAlignment="1" applyProtection="1">
      <alignment horizontal="center" vertical="center" wrapText="1"/>
      <protection hidden="1"/>
    </xf>
    <xf numFmtId="0" fontId="27" fillId="0" borderId="6" xfId="0" applyFont="1" applyBorder="1" applyAlignment="1" applyProtection="1">
      <alignment horizontal="center"/>
      <protection hidden="1"/>
    </xf>
    <xf numFmtId="0" fontId="27" fillId="0" borderId="0" xfId="0" applyFont="1" applyAlignment="1" applyProtection="1">
      <alignment horizontal="center"/>
      <protection hidden="1"/>
    </xf>
    <xf numFmtId="0" fontId="99" fillId="0" borderId="1" xfId="0" applyFont="1" applyBorder="1" applyAlignment="1">
      <alignment horizontal="center" vertical="center" wrapText="1"/>
    </xf>
    <xf numFmtId="174" fontId="91" fillId="0" borderId="0" xfId="0" applyNumberFormat="1" applyFont="1" applyAlignment="1">
      <alignment horizontal="left" vertical="top" wrapText="1"/>
    </xf>
    <xf numFmtId="0" fontId="91" fillId="0" borderId="6" xfId="0" applyFont="1" applyBorder="1" applyAlignment="1">
      <alignment horizontal="left" vertical="top" wrapText="1"/>
    </xf>
    <xf numFmtId="0" fontId="91" fillId="0" borderId="0" xfId="0" applyFont="1" applyAlignment="1">
      <alignment horizontal="left" vertical="top" wrapText="1"/>
    </xf>
    <xf numFmtId="0" fontId="91" fillId="0" borderId="26" xfId="0" applyFont="1" applyBorder="1" applyAlignment="1">
      <alignment horizontal="left" vertical="top" wrapText="1"/>
    </xf>
    <xf numFmtId="0" fontId="95" fillId="0" borderId="2" xfId="0" applyFont="1" applyBorder="1" applyAlignment="1">
      <alignment horizontal="left" vertical="center" wrapText="1"/>
    </xf>
    <xf numFmtId="0" fontId="95" fillId="0" borderId="5" xfId="0" applyFont="1" applyBorder="1" applyAlignment="1">
      <alignment horizontal="left" vertical="center" wrapText="1"/>
    </xf>
    <xf numFmtId="0" fontId="95" fillId="0" borderId="3" xfId="0" applyFont="1" applyBorder="1" applyAlignment="1">
      <alignment horizontal="left" vertical="center" wrapText="1"/>
    </xf>
    <xf numFmtId="0" fontId="95" fillId="0" borderId="13" xfId="0" applyFont="1" applyBorder="1" applyAlignment="1">
      <alignment horizontal="left" vertical="center" wrapText="1"/>
    </xf>
    <xf numFmtId="0" fontId="95" fillId="0" borderId="14" xfId="0" applyFont="1" applyBorder="1" applyAlignment="1">
      <alignment horizontal="left" vertical="center" wrapText="1"/>
    </xf>
    <xf numFmtId="0" fontId="95" fillId="0" borderId="15" xfId="0" applyFont="1" applyBorder="1" applyAlignment="1">
      <alignment horizontal="left" vertical="center" wrapText="1"/>
    </xf>
    <xf numFmtId="0" fontId="95" fillId="0" borderId="16" xfId="0" applyFont="1" applyBorder="1" applyAlignment="1">
      <alignment horizontal="left" vertical="center" wrapText="1"/>
    </xf>
    <xf numFmtId="0" fontId="95" fillId="0" borderId="12" xfId="0" applyFont="1" applyBorder="1" applyAlignment="1">
      <alignment horizontal="left" vertical="center" wrapText="1"/>
    </xf>
    <xf numFmtId="0" fontId="95" fillId="0" borderId="17" xfId="0" applyFont="1" applyBorder="1" applyAlignment="1">
      <alignment horizontal="left" vertical="center" wrapText="1"/>
    </xf>
    <xf numFmtId="0" fontId="90" fillId="0" borderId="13" xfId="0" applyFont="1" applyBorder="1" applyAlignment="1">
      <alignment horizontal="center" vertical="center" wrapText="1"/>
    </xf>
    <xf numFmtId="0" fontId="90" fillId="0" borderId="14" xfId="0" applyFont="1" applyBorder="1" applyAlignment="1">
      <alignment horizontal="center" vertical="center" wrapText="1"/>
    </xf>
    <xf numFmtId="0" fontId="90" fillId="0" borderId="15" xfId="0" applyFont="1" applyBorder="1" applyAlignment="1">
      <alignment horizontal="center" vertical="center" wrapText="1"/>
    </xf>
    <xf numFmtId="0" fontId="90" fillId="0" borderId="6" xfId="0" applyFont="1" applyBorder="1" applyAlignment="1">
      <alignment horizontal="center" vertical="center" wrapText="1"/>
    </xf>
    <xf numFmtId="0" fontId="90" fillId="0" borderId="0" xfId="0" applyFont="1" applyAlignment="1">
      <alignment horizontal="center" vertical="center" wrapText="1"/>
    </xf>
    <xf numFmtId="0" fontId="90" fillId="0" borderId="26" xfId="0" applyFont="1" applyBorder="1" applyAlignment="1">
      <alignment horizontal="center" vertical="center" wrapText="1"/>
    </xf>
    <xf numFmtId="0" fontId="47" fillId="0" borderId="1" xfId="0" applyFont="1" applyBorder="1" applyAlignment="1">
      <alignment horizontal="center" vertical="center" wrapText="1"/>
    </xf>
    <xf numFmtId="0" fontId="47" fillId="0" borderId="2" xfId="0" applyFont="1" applyBorder="1" applyAlignment="1">
      <alignment horizontal="center" vertical="center" wrapText="1"/>
    </xf>
    <xf numFmtId="0" fontId="98" fillId="0" borderId="2" xfId="0" applyFont="1" applyBorder="1" applyAlignment="1">
      <alignment horizontal="left" vertical="center" wrapText="1"/>
    </xf>
    <xf numFmtId="0" fontId="98" fillId="0" borderId="5" xfId="0" applyFont="1" applyBorder="1" applyAlignment="1">
      <alignment horizontal="left" vertical="center" wrapText="1"/>
    </xf>
    <xf numFmtId="0" fontId="98" fillId="0" borderId="3" xfId="0" applyFont="1" applyBorder="1" applyAlignment="1">
      <alignment horizontal="left" vertical="center" wrapText="1"/>
    </xf>
    <xf numFmtId="0" fontId="89" fillId="0" borderId="13" xfId="0" applyFont="1" applyBorder="1" applyAlignment="1">
      <alignment horizontal="center" vertical="top"/>
    </xf>
    <xf numFmtId="0" fontId="89" fillId="0" borderId="14" xfId="0" applyFont="1" applyBorder="1" applyAlignment="1">
      <alignment horizontal="center" vertical="top"/>
    </xf>
    <xf numFmtId="0" fontId="89" fillId="0" borderId="15" xfId="0" applyFont="1" applyBorder="1" applyAlignment="1">
      <alignment horizontal="center" vertical="top"/>
    </xf>
    <xf numFmtId="0" fontId="88" fillId="0" borderId="6" xfId="0" applyFont="1" applyBorder="1" applyAlignment="1">
      <alignment horizontal="center" vertical="top"/>
    </xf>
    <xf numFmtId="0" fontId="88" fillId="0" borderId="0" xfId="0" applyFont="1" applyAlignment="1">
      <alignment horizontal="center" vertical="top"/>
    </xf>
    <xf numFmtId="0" fontId="88" fillId="0" borderId="26" xfId="0" applyFont="1" applyBorder="1" applyAlignment="1">
      <alignment horizontal="center" vertical="top"/>
    </xf>
    <xf numFmtId="0" fontId="90" fillId="0" borderId="0" xfId="0" applyFont="1" applyAlignment="1" applyProtection="1">
      <alignment horizontal="center" vertical="center" wrapText="1"/>
      <protection hidden="1"/>
    </xf>
    <xf numFmtId="0" fontId="90" fillId="0" borderId="26" xfId="0" applyFont="1" applyBorder="1" applyAlignment="1" applyProtection="1">
      <alignment horizontal="center" vertical="center" wrapText="1"/>
      <protection hidden="1"/>
    </xf>
    <xf numFmtId="0" fontId="91" fillId="0" borderId="0" xfId="0" applyFont="1" applyAlignment="1">
      <alignment horizontal="left" vertical="justify" wrapText="1"/>
    </xf>
    <xf numFmtId="0" fontId="91" fillId="0" borderId="0" xfId="0" applyFont="1" applyAlignment="1">
      <alignment horizontal="center" vertical="center" wrapText="1"/>
    </xf>
    <xf numFmtId="0" fontId="91" fillId="0" borderId="26" xfId="0" applyFont="1" applyBorder="1" applyAlignment="1">
      <alignment horizontal="center" vertical="center" wrapText="1"/>
    </xf>
    <xf numFmtId="0" fontId="93" fillId="0" borderId="6" xfId="0" applyFont="1" applyBorder="1" applyAlignment="1">
      <alignment horizontal="center" vertical="top" wrapText="1"/>
    </xf>
    <xf numFmtId="0" fontId="93" fillId="0" borderId="0" xfId="0" applyFont="1" applyAlignment="1">
      <alignment horizontal="center" vertical="top" wrapText="1"/>
    </xf>
    <xf numFmtId="0" fontId="93" fillId="0" borderId="26" xfId="0" applyFont="1" applyBorder="1" applyAlignment="1">
      <alignment horizontal="center" vertical="top" wrapText="1"/>
    </xf>
    <xf numFmtId="0" fontId="100" fillId="0" borderId="13" xfId="0" applyFont="1" applyBorder="1" applyAlignment="1">
      <alignment horizontal="center" wrapText="1"/>
    </xf>
    <xf numFmtId="0" fontId="100" fillId="0" borderId="14" xfId="0" applyFont="1" applyBorder="1" applyAlignment="1">
      <alignment horizontal="center" wrapText="1"/>
    </xf>
    <xf numFmtId="0" fontId="100" fillId="0" borderId="15" xfId="0" applyFont="1" applyBorder="1" applyAlignment="1">
      <alignment horizontal="center" wrapText="1"/>
    </xf>
    <xf numFmtId="0" fontId="0" fillId="0" borderId="6" xfId="0" applyBorder="1" applyAlignment="1">
      <alignment horizontal="center" vertical="center" wrapText="1"/>
    </xf>
    <xf numFmtId="0" fontId="0" fillId="0" borderId="0" xfId="0" applyAlignment="1">
      <alignment horizontal="center" vertical="center" wrapText="1"/>
    </xf>
    <xf numFmtId="0" fontId="0" fillId="0" borderId="26" xfId="0" applyBorder="1" applyAlignment="1">
      <alignment horizontal="center" vertical="center" wrapText="1"/>
    </xf>
    <xf numFmtId="0" fontId="90" fillId="0" borderId="1" xfId="0" applyFont="1" applyBorder="1" applyAlignment="1">
      <alignment horizontal="center" vertical="center" wrapText="1"/>
    </xf>
    <xf numFmtId="0" fontId="0" fillId="9" borderId="12" xfId="0" applyFill="1" applyBorder="1" applyAlignment="1">
      <alignment horizontal="left"/>
    </xf>
    <xf numFmtId="0" fontId="161" fillId="0" borderId="67" xfId="0" applyFont="1" applyBorder="1" applyAlignment="1">
      <alignment horizontal="center" vertical="center"/>
    </xf>
    <xf numFmtId="0" fontId="161" fillId="0" borderId="146" xfId="0" applyFont="1" applyBorder="1" applyAlignment="1">
      <alignment horizontal="center" vertical="center"/>
    </xf>
    <xf numFmtId="0" fontId="161" fillId="0" borderId="68" xfId="0" applyFont="1" applyBorder="1" applyAlignment="1">
      <alignment horizontal="center" vertical="center"/>
    </xf>
    <xf numFmtId="0" fontId="88" fillId="8" borderId="67" xfId="0" applyFont="1" applyFill="1" applyBorder="1" applyAlignment="1">
      <alignment horizontal="center" vertical="center" wrapText="1"/>
    </xf>
    <xf numFmtId="0" fontId="88" fillId="8" borderId="68" xfId="0" applyFont="1" applyFill="1" applyBorder="1" applyAlignment="1">
      <alignment horizontal="center" vertical="center" wrapText="1"/>
    </xf>
    <xf numFmtId="0" fontId="163" fillId="8" borderId="67" xfId="0" applyFont="1" applyFill="1" applyBorder="1" applyAlignment="1">
      <alignment horizontal="center" vertical="center" wrapText="1"/>
    </xf>
    <xf numFmtId="0" fontId="163" fillId="8" borderId="68" xfId="0" applyFont="1" applyFill="1" applyBorder="1" applyAlignment="1">
      <alignment horizontal="center" vertical="center" wrapText="1"/>
    </xf>
    <xf numFmtId="0" fontId="163" fillId="0" borderId="145" xfId="0" applyFont="1" applyBorder="1" applyAlignment="1">
      <alignment horizontal="center" vertical="center"/>
    </xf>
    <xf numFmtId="0" fontId="163" fillId="0" borderId="143" xfId="0" applyFont="1" applyBorder="1" applyAlignment="1">
      <alignment horizontal="center" vertical="center"/>
    </xf>
    <xf numFmtId="0" fontId="200" fillId="12" borderId="12" xfId="0" applyFont="1" applyFill="1" applyBorder="1" applyAlignment="1" applyProtection="1">
      <alignment horizontal="center" vertical="center" wrapText="1"/>
      <protection hidden="1"/>
    </xf>
    <xf numFmtId="0" fontId="34" fillId="7" borderId="0" xfId="0" applyFont="1" applyFill="1" applyAlignment="1" applyProtection="1">
      <alignment horizontal="center" wrapText="1"/>
      <protection locked="0"/>
    </xf>
    <xf numFmtId="0" fontId="34" fillId="7" borderId="26" xfId="0" applyFont="1" applyFill="1" applyBorder="1" applyAlignment="1" applyProtection="1">
      <alignment horizontal="center" wrapText="1"/>
      <protection locked="0"/>
    </xf>
    <xf numFmtId="0" fontId="34" fillId="7" borderId="12" xfId="0" applyFont="1" applyFill="1" applyBorder="1" applyAlignment="1" applyProtection="1">
      <alignment horizontal="left" vertical="top" wrapText="1"/>
      <protection locked="0"/>
    </xf>
    <xf numFmtId="0" fontId="34" fillId="7" borderId="17" xfId="0" applyFont="1" applyFill="1" applyBorder="1" applyAlignment="1" applyProtection="1">
      <alignment horizontal="left" vertical="top" wrapText="1"/>
      <protection locked="0"/>
    </xf>
    <xf numFmtId="0" fontId="34" fillId="7" borderId="1" xfId="0" applyFont="1" applyFill="1" applyBorder="1" applyAlignment="1" applyProtection="1">
      <alignment horizontal="left" vertical="center" shrinkToFit="1"/>
      <protection locked="0" hidden="1"/>
    </xf>
    <xf numFmtId="0" fontId="34" fillId="7" borderId="2" xfId="0" applyFont="1" applyFill="1" applyBorder="1" applyAlignment="1">
      <alignment horizontal="center" vertical="center" wrapText="1"/>
    </xf>
    <xf numFmtId="0" fontId="34" fillId="7" borderId="5" xfId="0" applyFont="1" applyFill="1" applyBorder="1" applyAlignment="1">
      <alignment horizontal="center" vertical="center" wrapText="1"/>
    </xf>
    <xf numFmtId="0" fontId="34" fillId="7" borderId="3" xfId="0" applyFont="1" applyFill="1" applyBorder="1" applyAlignment="1">
      <alignment horizontal="center" vertical="center" wrapText="1"/>
    </xf>
    <xf numFmtId="0" fontId="34" fillId="7" borderId="13" xfId="0" applyFont="1" applyFill="1" applyBorder="1" applyAlignment="1" applyProtection="1">
      <alignment horizontal="center" vertical="center" shrinkToFit="1"/>
      <protection hidden="1"/>
    </xf>
    <xf numFmtId="0" fontId="34" fillId="7" borderId="14" xfId="0" applyFont="1" applyFill="1" applyBorder="1" applyAlignment="1" applyProtection="1">
      <alignment horizontal="center" vertical="center" shrinkToFit="1"/>
      <protection hidden="1"/>
    </xf>
    <xf numFmtId="0" fontId="34" fillId="7" borderId="15" xfId="0" applyFont="1" applyFill="1" applyBorder="1" applyAlignment="1" applyProtection="1">
      <alignment horizontal="center" vertical="center" shrinkToFit="1"/>
      <protection hidden="1"/>
    </xf>
    <xf numFmtId="14" fontId="34" fillId="7" borderId="6" xfId="0" applyNumberFormat="1" applyFont="1" applyFill="1" applyBorder="1" applyAlignment="1" applyProtection="1">
      <alignment horizontal="left"/>
      <protection locked="0"/>
    </xf>
    <xf numFmtId="14" fontId="34" fillId="7" borderId="0" xfId="0" applyNumberFormat="1" applyFont="1" applyFill="1" applyAlignment="1" applyProtection="1">
      <alignment horizontal="left"/>
      <protection locked="0"/>
    </xf>
    <xf numFmtId="0" fontId="34" fillId="7" borderId="14" xfId="0" applyFont="1" applyFill="1" applyBorder="1" applyAlignment="1">
      <alignment horizontal="justify" vertical="top" wrapText="1"/>
    </xf>
    <xf numFmtId="0" fontId="34" fillId="7" borderId="15" xfId="0" applyFont="1" applyFill="1" applyBorder="1" applyAlignment="1">
      <alignment horizontal="justify" vertical="top" wrapText="1"/>
    </xf>
    <xf numFmtId="0" fontId="34" fillId="7" borderId="2" xfId="0" applyFont="1" applyFill="1" applyBorder="1" applyAlignment="1" applyProtection="1">
      <alignment horizontal="left" vertical="center" shrinkToFit="1"/>
      <protection locked="0" hidden="1"/>
    </xf>
    <xf numFmtId="0" fontId="34" fillId="7" borderId="5" xfId="0" applyFont="1" applyFill="1" applyBorder="1" applyAlignment="1" applyProtection="1">
      <alignment horizontal="left" vertical="center" shrinkToFit="1"/>
      <protection locked="0" hidden="1"/>
    </xf>
    <xf numFmtId="0" fontId="34" fillId="7" borderId="3" xfId="0" applyFont="1" applyFill="1" applyBorder="1" applyAlignment="1" applyProtection="1">
      <alignment horizontal="left" vertical="center" shrinkToFit="1"/>
      <protection locked="0" hidden="1"/>
    </xf>
    <xf numFmtId="172" fontId="34" fillId="7" borderId="5" xfId="0" applyNumberFormat="1" applyFont="1" applyFill="1" applyBorder="1" applyAlignment="1" applyProtection="1">
      <alignment horizontal="left" vertical="center"/>
      <protection hidden="1"/>
    </xf>
    <xf numFmtId="172" fontId="34" fillId="7" borderId="3" xfId="0" applyNumberFormat="1" applyFont="1" applyFill="1" applyBorder="1" applyAlignment="1" applyProtection="1">
      <alignment horizontal="left" vertical="center"/>
      <protection hidden="1"/>
    </xf>
    <xf numFmtId="0" fontId="34" fillId="7" borderId="2" xfId="0" applyFont="1" applyFill="1" applyBorder="1" applyAlignment="1" applyProtection="1">
      <alignment horizontal="left" vertical="center" wrapText="1"/>
      <protection hidden="1"/>
    </xf>
    <xf numFmtId="0" fontId="34" fillId="7" borderId="5" xfId="0" applyFont="1" applyFill="1" applyBorder="1" applyAlignment="1" applyProtection="1">
      <alignment horizontal="left" vertical="center" wrapText="1"/>
      <protection hidden="1"/>
    </xf>
    <xf numFmtId="171" fontId="34" fillId="7" borderId="5" xfId="1" applyNumberFormat="1" applyFont="1" applyFill="1" applyBorder="1" applyAlignment="1" applyProtection="1">
      <alignment horizontal="left" vertical="top" wrapText="1"/>
      <protection locked="0" hidden="1"/>
    </xf>
    <xf numFmtId="171" fontId="34" fillId="7" borderId="3" xfId="1" applyNumberFormat="1" applyFont="1" applyFill="1" applyBorder="1" applyAlignment="1" applyProtection="1">
      <alignment horizontal="left" vertical="top" wrapText="1"/>
      <protection locked="0" hidden="1"/>
    </xf>
    <xf numFmtId="0" fontId="34" fillId="7" borderId="1" xfId="0" applyFont="1" applyFill="1" applyBorder="1" applyAlignment="1" applyProtection="1">
      <alignment horizontal="left" vertical="center"/>
      <protection hidden="1"/>
    </xf>
    <xf numFmtId="0" fontId="34" fillId="7" borderId="2" xfId="0" applyFont="1" applyFill="1" applyBorder="1" applyAlignment="1" applyProtection="1">
      <alignment horizontal="left" vertical="center"/>
      <protection hidden="1"/>
    </xf>
    <xf numFmtId="171" fontId="34" fillId="7" borderId="1" xfId="1" applyNumberFormat="1" applyFont="1" applyFill="1" applyBorder="1" applyAlignment="1" applyProtection="1">
      <alignment horizontal="left" vertical="center" shrinkToFit="1"/>
      <protection hidden="1"/>
    </xf>
    <xf numFmtId="0" fontId="61" fillId="7" borderId="6" xfId="0" applyFont="1" applyFill="1" applyBorder="1" applyAlignment="1" applyProtection="1">
      <alignment horizontal="left" vertical="top" shrinkToFit="1"/>
      <protection hidden="1"/>
    </xf>
    <xf numFmtId="0" fontId="61" fillId="7" borderId="0" xfId="0" applyFont="1" applyFill="1" applyAlignment="1" applyProtection="1">
      <alignment horizontal="left" vertical="top" shrinkToFit="1"/>
      <protection hidden="1"/>
    </xf>
    <xf numFmtId="0" fontId="61" fillId="7" borderId="26" xfId="0" applyFont="1" applyFill="1" applyBorder="1" applyAlignment="1" applyProtection="1">
      <alignment horizontal="left" vertical="top" shrinkToFit="1"/>
      <protection hidden="1"/>
    </xf>
    <xf numFmtId="0" fontId="58" fillId="7" borderId="2" xfId="0" applyFont="1" applyFill="1" applyBorder="1" applyAlignment="1">
      <alignment horizontal="center" vertical="center" wrapText="1"/>
    </xf>
    <xf numFmtId="0" fontId="58" fillId="7" borderId="5" xfId="0" applyFont="1" applyFill="1" applyBorder="1" applyAlignment="1">
      <alignment horizontal="center" vertical="center" wrapText="1"/>
    </xf>
    <xf numFmtId="0" fontId="58" fillId="7" borderId="3" xfId="0" applyFont="1" applyFill="1" applyBorder="1" applyAlignment="1">
      <alignment horizontal="center" vertical="center" wrapText="1"/>
    </xf>
    <xf numFmtId="0" fontId="79" fillId="7" borderId="2" xfId="0" applyFont="1" applyFill="1" applyBorder="1" applyAlignment="1">
      <alignment horizontal="center" vertical="center" wrapText="1"/>
    </xf>
    <xf numFmtId="0" fontId="79" fillId="7" borderId="5" xfId="0" applyFont="1" applyFill="1" applyBorder="1" applyAlignment="1">
      <alignment horizontal="center" vertical="center" wrapText="1"/>
    </xf>
    <xf numFmtId="0" fontId="79" fillId="7" borderId="3" xfId="0" applyFont="1" applyFill="1" applyBorder="1" applyAlignment="1">
      <alignment horizontal="center" vertical="center" wrapText="1"/>
    </xf>
    <xf numFmtId="0" fontId="66" fillId="7" borderId="2" xfId="0" quotePrefix="1" applyFont="1" applyFill="1" applyBorder="1" applyAlignment="1">
      <alignment horizontal="center" vertical="center" wrapText="1"/>
    </xf>
    <xf numFmtId="0" fontId="66" fillId="7" borderId="5" xfId="0" quotePrefix="1" applyFont="1" applyFill="1" applyBorder="1" applyAlignment="1">
      <alignment horizontal="center" vertical="center" wrapText="1"/>
    </xf>
    <xf numFmtId="0" fontId="66" fillId="7" borderId="3" xfId="0" quotePrefix="1" applyFont="1" applyFill="1" applyBorder="1" applyAlignment="1">
      <alignment horizontal="center" vertical="center" wrapText="1"/>
    </xf>
    <xf numFmtId="0" fontId="34" fillId="7" borderId="1" xfId="0" applyFont="1" applyFill="1" applyBorder="1" applyAlignment="1" applyProtection="1">
      <alignment horizontal="left" vertical="center" wrapText="1"/>
      <protection hidden="1"/>
    </xf>
    <xf numFmtId="0" fontId="34" fillId="7" borderId="1" xfId="0" applyFont="1" applyFill="1" applyBorder="1" applyAlignment="1" applyProtection="1">
      <alignment horizontal="center" vertical="center" wrapText="1"/>
      <protection hidden="1"/>
    </xf>
    <xf numFmtId="0" fontId="34" fillId="7" borderId="59" xfId="0" applyFont="1" applyFill="1" applyBorder="1" applyAlignment="1" applyProtection="1">
      <alignment horizontal="center" vertical="center" wrapText="1"/>
      <protection hidden="1"/>
    </xf>
    <xf numFmtId="172" fontId="34" fillId="7" borderId="1" xfId="0" applyNumberFormat="1" applyFont="1" applyFill="1" applyBorder="1" applyAlignment="1" applyProtection="1">
      <alignment horizontal="left" vertical="center" wrapText="1"/>
      <protection hidden="1"/>
    </xf>
    <xf numFmtId="171" fontId="34" fillId="7" borderId="1" xfId="1" applyNumberFormat="1" applyFont="1" applyFill="1" applyBorder="1" applyAlignment="1" applyProtection="1">
      <alignment horizontal="center" vertical="top" wrapText="1"/>
      <protection hidden="1"/>
    </xf>
    <xf numFmtId="172" fontId="34" fillId="7" borderId="13" xfId="0" applyNumberFormat="1" applyFont="1" applyFill="1" applyBorder="1" applyAlignment="1" applyProtection="1">
      <alignment horizontal="center" vertical="center"/>
      <protection hidden="1"/>
    </xf>
    <xf numFmtId="172" fontId="34" fillId="7" borderId="14" xfId="0" applyNumberFormat="1" applyFont="1" applyFill="1" applyBorder="1" applyAlignment="1" applyProtection="1">
      <alignment horizontal="center" vertical="center"/>
      <protection hidden="1"/>
    </xf>
    <xf numFmtId="172" fontId="34" fillId="7" borderId="15" xfId="0" applyNumberFormat="1" applyFont="1" applyFill="1" applyBorder="1" applyAlignment="1" applyProtection="1">
      <alignment horizontal="center" vertical="center"/>
      <protection hidden="1"/>
    </xf>
    <xf numFmtId="172" fontId="34" fillId="7" borderId="16" xfId="0" applyNumberFormat="1" applyFont="1" applyFill="1" applyBorder="1" applyAlignment="1" applyProtection="1">
      <alignment horizontal="center" vertical="center"/>
      <protection hidden="1"/>
    </xf>
    <xf numFmtId="172" fontId="34" fillId="7" borderId="12" xfId="0" applyNumberFormat="1" applyFont="1" applyFill="1" applyBorder="1" applyAlignment="1" applyProtection="1">
      <alignment horizontal="center" vertical="center"/>
      <protection hidden="1"/>
    </xf>
    <xf numFmtId="172" fontId="34" fillId="7" borderId="17" xfId="0" applyNumberFormat="1" applyFont="1" applyFill="1" applyBorder="1" applyAlignment="1" applyProtection="1">
      <alignment horizontal="center" vertical="center"/>
      <protection hidden="1"/>
    </xf>
    <xf numFmtId="2" fontId="34" fillId="7" borderId="1" xfId="0" applyNumberFormat="1" applyFont="1" applyFill="1" applyBorder="1" applyAlignment="1" applyProtection="1">
      <alignment horizontal="left" vertical="center" wrapText="1"/>
      <protection locked="0"/>
    </xf>
    <xf numFmtId="172" fontId="34" fillId="7" borderId="59" xfId="0" applyNumberFormat="1" applyFont="1" applyFill="1" applyBorder="1" applyAlignment="1" applyProtection="1">
      <alignment horizontal="left" vertical="center" shrinkToFit="1"/>
      <protection hidden="1"/>
    </xf>
    <xf numFmtId="172" fontId="34" fillId="7" borderId="13" xfId="0" applyNumberFormat="1" applyFont="1" applyFill="1" applyBorder="1" applyAlignment="1" applyProtection="1">
      <alignment horizontal="center" vertical="center" wrapText="1"/>
      <protection hidden="1"/>
    </xf>
    <xf numFmtId="172" fontId="34" fillId="7" borderId="14" xfId="0" applyNumberFormat="1" applyFont="1" applyFill="1" applyBorder="1" applyAlignment="1" applyProtection="1">
      <alignment horizontal="center" vertical="center" wrapText="1"/>
      <protection hidden="1"/>
    </xf>
    <xf numFmtId="172" fontId="34" fillId="7" borderId="15" xfId="0" applyNumberFormat="1" applyFont="1" applyFill="1" applyBorder="1" applyAlignment="1" applyProtection="1">
      <alignment horizontal="center" vertical="center" wrapText="1"/>
      <protection hidden="1"/>
    </xf>
    <xf numFmtId="172" fontId="34" fillId="7" borderId="16" xfId="0" applyNumberFormat="1" applyFont="1" applyFill="1" applyBorder="1" applyAlignment="1" applyProtection="1">
      <alignment horizontal="center" vertical="center" wrapText="1"/>
      <protection hidden="1"/>
    </xf>
    <xf numFmtId="172" fontId="34" fillId="7" borderId="12" xfId="0" applyNumberFormat="1" applyFont="1" applyFill="1" applyBorder="1" applyAlignment="1" applyProtection="1">
      <alignment horizontal="center" vertical="center" wrapText="1"/>
      <protection hidden="1"/>
    </xf>
    <xf numFmtId="172" fontId="34" fillId="7" borderId="17" xfId="0" applyNumberFormat="1" applyFont="1" applyFill="1" applyBorder="1" applyAlignment="1" applyProtection="1">
      <alignment horizontal="center" vertical="center" wrapText="1"/>
      <protection hidden="1"/>
    </xf>
    <xf numFmtId="1" fontId="34" fillId="7" borderId="13" xfId="0" applyNumberFormat="1" applyFont="1" applyFill="1" applyBorder="1" applyAlignment="1" applyProtection="1">
      <alignment horizontal="left" vertical="center" wrapText="1"/>
      <protection hidden="1"/>
    </xf>
    <xf numFmtId="1" fontId="34" fillId="7" borderId="15" xfId="0" applyNumberFormat="1" applyFont="1" applyFill="1" applyBorder="1" applyAlignment="1" applyProtection="1">
      <alignment horizontal="left" vertical="center" wrapText="1"/>
      <protection hidden="1"/>
    </xf>
    <xf numFmtId="1" fontId="34" fillId="7" borderId="16" xfId="0" applyNumberFormat="1" applyFont="1" applyFill="1" applyBorder="1" applyAlignment="1" applyProtection="1">
      <alignment horizontal="left" vertical="center" wrapText="1"/>
      <protection hidden="1"/>
    </xf>
    <xf numFmtId="1" fontId="34" fillId="7" borderId="17" xfId="0" applyNumberFormat="1" applyFont="1" applyFill="1" applyBorder="1" applyAlignment="1" applyProtection="1">
      <alignment horizontal="left" vertical="center" wrapText="1"/>
      <protection hidden="1"/>
    </xf>
    <xf numFmtId="0" fontId="58" fillId="7" borderId="1" xfId="0" applyFont="1" applyFill="1" applyBorder="1" applyAlignment="1">
      <alignment horizontal="center" vertical="top" wrapText="1"/>
    </xf>
    <xf numFmtId="0" fontId="58" fillId="0" borderId="13" xfId="0" applyFont="1" applyBorder="1" applyAlignment="1">
      <alignment horizontal="center" vertical="center" wrapText="1"/>
    </xf>
    <xf numFmtId="0" fontId="58" fillId="0" borderId="14" xfId="0" applyFont="1" applyBorder="1" applyAlignment="1">
      <alignment horizontal="center" vertical="center" wrapText="1"/>
    </xf>
    <xf numFmtId="0" fontId="58" fillId="0" borderId="15" xfId="0" applyFont="1" applyBorder="1" applyAlignment="1">
      <alignment horizontal="center" vertical="center" wrapText="1"/>
    </xf>
    <xf numFmtId="0" fontId="37" fillId="0" borderId="6" xfId="0" applyFont="1" applyBorder="1" applyAlignment="1">
      <alignment horizontal="center"/>
    </xf>
    <xf numFmtId="0" fontId="37" fillId="0" borderId="0" xfId="0" applyFont="1" applyAlignment="1">
      <alignment horizontal="center"/>
    </xf>
    <xf numFmtId="0" fontId="37" fillId="0" borderId="26" xfId="0" applyFont="1" applyBorder="1" applyAlignment="1">
      <alignment horizontal="center"/>
    </xf>
    <xf numFmtId="0" fontId="34" fillId="7" borderId="5" xfId="0" applyFont="1" applyFill="1" applyBorder="1" applyAlignment="1" applyProtection="1">
      <alignment horizontal="left" vertical="center"/>
      <protection hidden="1"/>
    </xf>
    <xf numFmtId="0" fontId="34" fillId="7" borderId="3" xfId="0" applyFont="1" applyFill="1" applyBorder="1" applyAlignment="1" applyProtection="1">
      <alignment horizontal="left" vertical="center"/>
      <protection hidden="1"/>
    </xf>
    <xf numFmtId="0" fontId="15" fillId="36" borderId="128" xfId="5" applyFill="1" applyBorder="1" applyAlignment="1">
      <alignment vertical="top" wrapText="1" indent="1"/>
    </xf>
    <xf numFmtId="0" fontId="15" fillId="36" borderId="0" xfId="5" applyFill="1" applyBorder="1" applyAlignment="1">
      <alignment vertical="top" wrapText="1" indent="1"/>
    </xf>
    <xf numFmtId="0" fontId="15" fillId="36" borderId="129" xfId="5" applyFill="1" applyBorder="1" applyAlignment="1">
      <alignment vertical="top" wrapText="1" indent="1"/>
    </xf>
    <xf numFmtId="0" fontId="153" fillId="36" borderId="128" xfId="0" applyFont="1" applyFill="1" applyBorder="1" applyAlignment="1">
      <alignment vertical="top" wrapText="1" indent="1"/>
    </xf>
    <xf numFmtId="0" fontId="153" fillId="36" borderId="0" xfId="0" applyFont="1" applyFill="1" applyAlignment="1">
      <alignment vertical="top" wrapText="1" indent="1"/>
    </xf>
    <xf numFmtId="0" fontId="153" fillId="36" borderId="129" xfId="0" applyFont="1" applyFill="1" applyBorder="1" applyAlignment="1">
      <alignment vertical="top" wrapText="1" indent="1"/>
    </xf>
    <xf numFmtId="0" fontId="15" fillId="36" borderId="125" xfId="5" applyFill="1" applyBorder="1" applyAlignment="1">
      <alignment vertical="top" wrapText="1" indent="1"/>
    </xf>
    <xf numFmtId="0" fontId="15" fillId="36" borderId="126" xfId="5" applyFill="1" applyBorder="1" applyAlignment="1">
      <alignment vertical="top" wrapText="1" indent="1"/>
    </xf>
    <xf numFmtId="0" fontId="15" fillId="36" borderId="127" xfId="5" applyFill="1" applyBorder="1" applyAlignment="1">
      <alignment vertical="top" wrapText="1" indent="1"/>
    </xf>
    <xf numFmtId="0" fontId="152" fillId="35" borderId="1" xfId="0" applyFont="1" applyFill="1" applyBorder="1" applyAlignment="1">
      <alignment horizontal="left" vertical="center" wrapText="1" indent="1"/>
    </xf>
    <xf numFmtId="0" fontId="152" fillId="35" borderId="1" xfId="0" applyFont="1" applyFill="1" applyBorder="1" applyAlignment="1">
      <alignment horizontal="left" wrapText="1" indent="1"/>
    </xf>
    <xf numFmtId="0" fontId="153" fillId="37" borderId="1" xfId="0" applyFont="1" applyFill="1" applyBorder="1" applyAlignment="1">
      <alignment vertical="top" wrapText="1" indent="1"/>
    </xf>
    <xf numFmtId="0" fontId="154" fillId="36" borderId="128" xfId="0" applyFont="1" applyFill="1" applyBorder="1" applyAlignment="1">
      <alignment vertical="top" wrapText="1" indent="1"/>
    </xf>
    <xf numFmtId="0" fontId="154" fillId="36" borderId="0" xfId="0" applyFont="1" applyFill="1" applyAlignment="1">
      <alignment vertical="top" wrapText="1" indent="1"/>
    </xf>
    <xf numFmtId="0" fontId="154" fillId="36" borderId="129" xfId="0" applyFont="1" applyFill="1" applyBorder="1" applyAlignment="1">
      <alignment vertical="top" wrapText="1" indent="1"/>
    </xf>
    <xf numFmtId="0" fontId="148" fillId="34" borderId="1" xfId="0" applyFont="1" applyFill="1" applyBorder="1" applyAlignment="1">
      <alignment horizontal="center" vertical="center" wrapText="1"/>
    </xf>
    <xf numFmtId="0" fontId="148" fillId="0" borderId="0" xfId="0" applyFont="1" applyAlignment="1">
      <alignment horizontal="center" vertical="center" wrapText="1"/>
    </xf>
    <xf numFmtId="0" fontId="148" fillId="34" borderId="2" xfId="0" applyFont="1" applyFill="1" applyBorder="1" applyAlignment="1">
      <alignment horizontal="center" vertical="center" wrapText="1"/>
    </xf>
    <xf numFmtId="0" fontId="148" fillId="34" borderId="5" xfId="0" applyFont="1" applyFill="1" applyBorder="1" applyAlignment="1">
      <alignment horizontal="center" vertical="center" wrapText="1"/>
    </xf>
    <xf numFmtId="0" fontId="148" fillId="34" borderId="3" xfId="0" applyFont="1" applyFill="1" applyBorder="1" applyAlignment="1">
      <alignment horizontal="center" vertical="center" wrapText="1"/>
    </xf>
    <xf numFmtId="0" fontId="151" fillId="0" borderId="1" xfId="0" applyFont="1" applyBorder="1" applyAlignment="1">
      <alignment horizontal="center" vertical="center" wrapText="1"/>
    </xf>
    <xf numFmtId="0" fontId="151" fillId="0" borderId="12" xfId="0" applyFont="1" applyBorder="1" applyAlignment="1">
      <alignment horizontal="center" vertical="center" wrapText="1"/>
    </xf>
    <xf numFmtId="0" fontId="120" fillId="12" borderId="16" xfId="0" applyFont="1" applyFill="1" applyBorder="1" applyAlignment="1" applyProtection="1">
      <alignment horizontal="center" vertical="center"/>
      <protection hidden="1"/>
    </xf>
    <xf numFmtId="0" fontId="120" fillId="12" borderId="12" xfId="0" applyFont="1" applyFill="1" applyBorder="1" applyAlignment="1" applyProtection="1">
      <alignment horizontal="center" vertical="center"/>
      <protection hidden="1"/>
    </xf>
    <xf numFmtId="0" fontId="156" fillId="0" borderId="0" xfId="0" applyFont="1" applyAlignment="1">
      <alignment horizontal="center" vertical="center" wrapText="1"/>
    </xf>
    <xf numFmtId="0" fontId="157" fillId="0" borderId="134" xfId="0" applyFont="1" applyBorder="1" applyAlignment="1">
      <alignment horizontal="center" vertical="center" wrapText="1"/>
    </xf>
    <xf numFmtId="0" fontId="156" fillId="0" borderId="135" xfId="0" applyFont="1" applyBorder="1" applyAlignment="1">
      <alignment horizontal="center" vertical="center" wrapText="1"/>
    </xf>
    <xf numFmtId="0" fontId="158" fillId="0" borderId="131" xfId="0" applyFont="1" applyBorder="1" applyAlignment="1">
      <alignment horizontal="center" vertical="center" wrapText="1"/>
    </xf>
    <xf numFmtId="0" fontId="158" fillId="0" borderId="132" xfId="0" applyFont="1" applyBorder="1" applyAlignment="1">
      <alignment horizontal="center" vertical="center" wrapText="1"/>
    </xf>
    <xf numFmtId="9" fontId="159" fillId="0" borderId="131" xfId="0" applyNumberFormat="1" applyFont="1" applyBorder="1" applyAlignment="1">
      <alignment horizontal="right" vertical="center" wrapText="1"/>
    </xf>
    <xf numFmtId="9" fontId="159" fillId="0" borderId="133" xfId="0" applyNumberFormat="1" applyFont="1" applyBorder="1" applyAlignment="1">
      <alignment horizontal="right" vertical="center" wrapText="1"/>
    </xf>
    <xf numFmtId="9" fontId="159" fillId="0" borderId="132" xfId="0" applyNumberFormat="1" applyFont="1" applyBorder="1" applyAlignment="1">
      <alignment horizontal="right" vertical="center" wrapText="1"/>
    </xf>
    <xf numFmtId="0" fontId="159" fillId="0" borderId="131" xfId="0" applyFont="1" applyBorder="1" applyAlignment="1">
      <alignment horizontal="right" vertical="center" wrapText="1"/>
    </xf>
    <xf numFmtId="0" fontId="159" fillId="0" borderId="132" xfId="0" applyFont="1" applyBorder="1" applyAlignment="1">
      <alignment horizontal="right" vertical="center" wrapText="1"/>
    </xf>
    <xf numFmtId="0" fontId="75" fillId="0" borderId="0" xfId="0" applyFont="1" applyAlignment="1" applyProtection="1">
      <alignment horizontal="center" vertical="center"/>
      <protection locked="0" hidden="1"/>
    </xf>
    <xf numFmtId="0" fontId="123" fillId="0" borderId="22" xfId="0" applyFont="1" applyFill="1" applyBorder="1" applyAlignment="1" applyProtection="1">
      <alignment vertical="center" shrinkToFit="1"/>
      <protection locked="0"/>
    </xf>
    <xf numFmtId="0" fontId="202" fillId="0" borderId="0" xfId="0" applyFont="1" applyAlignment="1" applyProtection="1">
      <alignment vertical="center"/>
      <protection hidden="1"/>
    </xf>
  </cellXfs>
  <cellStyles count="8">
    <cellStyle name="Comma" xfId="1" builtinId="3"/>
    <cellStyle name="Comma 2" xfId="4" xr:uid="{B11FBEE7-A394-4C0A-8B74-D437A2150D29}"/>
    <cellStyle name="Comma 5" xfId="6" xr:uid="{7738AC99-6B33-47AF-AA73-724AA6ACCC43}"/>
    <cellStyle name="Hyperlink" xfId="5" builtinId="8"/>
    <cellStyle name="Normal" xfId="0" builtinId="0"/>
    <cellStyle name="Normal 2" xfId="2" xr:uid="{EF0804D8-F963-4B9E-B4BE-92E9EBC0A30F}"/>
    <cellStyle name="Normal 2 2" xfId="3" xr:uid="{C51AC0FD-BA36-4BBD-89DD-86502C3AFA9C}"/>
    <cellStyle name="Percent" xfId="7" builtinId="5"/>
  </cellStyles>
  <dxfs count="44">
    <dxf>
      <font>
        <color theme="0"/>
      </font>
    </dxf>
    <dxf>
      <font>
        <color theme="0"/>
      </font>
      <fill>
        <patternFill>
          <bgColor theme="0"/>
        </patternFill>
      </fill>
      <border>
        <left/>
        <right/>
        <top/>
        <bottom/>
      </border>
    </dxf>
    <dxf>
      <font>
        <color theme="0"/>
      </font>
      <fill>
        <patternFill>
          <bgColor theme="0"/>
        </patternFill>
      </fill>
      <border>
        <left/>
        <right/>
        <top/>
        <bottom/>
      </border>
    </dxf>
    <dxf>
      <font>
        <color theme="0"/>
      </font>
    </dxf>
    <dxf>
      <font>
        <color theme="0"/>
      </font>
      <fill>
        <patternFill>
          <bgColor theme="0"/>
        </patternFill>
      </fill>
      <border>
        <left/>
        <right/>
        <top/>
        <bottom/>
      </border>
    </dxf>
    <dxf>
      <font>
        <color theme="0"/>
      </font>
      <fill>
        <patternFill>
          <bgColor theme="0"/>
        </patternFill>
      </fill>
      <border>
        <left/>
        <right/>
        <top/>
        <bottom/>
      </border>
    </dxf>
    <dxf>
      <font>
        <color theme="0"/>
      </font>
      <fill>
        <patternFill>
          <bgColor theme="0"/>
        </patternFill>
      </fill>
      <border>
        <left/>
        <right/>
        <top/>
        <bottom/>
        <vertical/>
        <horizontal/>
      </border>
    </dxf>
    <dxf>
      <font>
        <color theme="0"/>
      </font>
    </dxf>
    <dxf>
      <font>
        <color theme="0"/>
      </font>
    </dxf>
    <dxf>
      <font>
        <color theme="0"/>
      </font>
    </dxf>
    <dxf>
      <font>
        <color theme="0"/>
      </font>
    </dxf>
    <dxf>
      <border>
        <left/>
        <right/>
        <top/>
        <bottom/>
        <vertical/>
        <horizontal/>
      </border>
    </dxf>
    <dxf>
      <border>
        <left style="thin">
          <color auto="1"/>
        </left>
        <right style="thin">
          <color auto="1"/>
        </right>
        <top style="thin">
          <color auto="1"/>
        </top>
        <bottom style="thin">
          <color auto="1"/>
        </bottom>
        <vertical/>
        <horizontal/>
      </border>
    </dxf>
    <dxf>
      <fill>
        <patternFill>
          <bgColor theme="1"/>
        </patternFill>
      </fill>
    </dxf>
    <dxf>
      <fill>
        <patternFill>
          <bgColor theme="1"/>
        </patternFill>
      </fill>
    </dxf>
    <dxf>
      <font>
        <color theme="7" tint="-0.499984740745262"/>
      </font>
      <fill>
        <patternFill>
          <bgColor theme="7" tint="-0.499984740745262"/>
        </patternFill>
      </fill>
    </dxf>
    <dxf>
      <font>
        <color theme="0" tint="-0.499984740745262"/>
      </font>
      <fill>
        <patternFill>
          <bgColor theme="0" tint="-0.499984740745262"/>
        </patternFill>
      </fill>
      <border>
        <left/>
        <right/>
        <top/>
        <bottom/>
      </border>
    </dxf>
    <dxf>
      <fill>
        <patternFill>
          <bgColor theme="1"/>
        </patternFill>
      </fill>
    </dxf>
    <dxf>
      <font>
        <color theme="1"/>
      </font>
      <fill>
        <patternFill>
          <bgColor theme="1"/>
        </patternFill>
      </fill>
    </dxf>
    <dxf>
      <fill>
        <patternFill>
          <bgColor theme="1"/>
        </patternFill>
      </fill>
    </dxf>
    <dxf>
      <fill>
        <patternFill>
          <bgColor theme="0" tint="-4.9989318521683403E-2"/>
        </patternFill>
      </fill>
    </dxf>
    <dxf>
      <font>
        <color auto="1"/>
      </font>
      <fill>
        <patternFill>
          <bgColor theme="1"/>
        </patternFill>
      </fill>
      <border>
        <left/>
        <right/>
        <top/>
        <bottom/>
        <vertical/>
        <horizontal/>
      </border>
    </dxf>
    <dxf>
      <font>
        <color theme="1"/>
      </font>
      <fill>
        <patternFill>
          <bgColor theme="1"/>
        </patternFill>
      </fill>
    </dxf>
    <dxf>
      <font>
        <color theme="1"/>
      </font>
      <fill>
        <patternFill>
          <bgColor theme="1"/>
        </patternFill>
      </fill>
    </dxf>
    <dxf>
      <font>
        <color theme="1"/>
      </font>
      <fill>
        <patternFill>
          <bgColor theme="1"/>
        </patternFill>
      </fill>
    </dxf>
    <dxf>
      <font>
        <color theme="1"/>
      </font>
      <fill>
        <patternFill>
          <bgColor theme="1"/>
        </patternFill>
      </fill>
    </dxf>
    <dxf>
      <fill>
        <patternFill>
          <bgColor theme="1"/>
        </patternFill>
      </fill>
    </dxf>
    <dxf>
      <fill>
        <patternFill>
          <bgColor theme="1"/>
        </patternFill>
      </fill>
    </dxf>
    <dxf>
      <fill>
        <patternFill>
          <bgColor theme="1"/>
        </patternFill>
      </fill>
    </dxf>
    <dxf>
      <fill>
        <patternFill>
          <bgColor theme="1"/>
        </patternFill>
      </fill>
    </dxf>
    <dxf>
      <fill>
        <patternFill>
          <bgColor theme="1"/>
        </patternFill>
      </fill>
    </dxf>
    <dxf>
      <font>
        <color auto="1"/>
      </font>
      <fill>
        <patternFill>
          <bgColor theme="1"/>
        </patternFill>
      </fill>
    </dxf>
    <dxf>
      <font>
        <color auto="1"/>
      </font>
      <fill>
        <patternFill>
          <bgColor theme="1"/>
        </patternFill>
      </fill>
    </dxf>
    <dxf>
      <fill>
        <patternFill>
          <bgColor theme="0" tint="-4.9989318521683403E-2"/>
        </patternFill>
      </fill>
    </dxf>
    <dxf>
      <font>
        <color theme="1"/>
      </font>
      <fill>
        <patternFill>
          <bgColor theme="1"/>
        </patternFill>
      </fill>
    </dxf>
    <dxf>
      <font>
        <color theme="1"/>
      </font>
      <fill>
        <patternFill>
          <bgColor theme="1"/>
        </patternFill>
      </fill>
      <border>
        <left/>
        <right/>
        <top/>
        <bottom/>
        <vertical/>
        <horizontal/>
      </border>
    </dxf>
    <dxf>
      <fill>
        <patternFill>
          <bgColor theme="0" tint="-4.9989318521683403E-2"/>
        </patternFill>
      </fill>
    </dxf>
    <dxf>
      <font>
        <color theme="1"/>
      </font>
      <fill>
        <patternFill>
          <bgColor theme="1"/>
        </patternFill>
      </fill>
    </dxf>
    <dxf>
      <fill>
        <patternFill>
          <bgColor theme="1"/>
        </patternFill>
      </fill>
    </dxf>
    <dxf>
      <font>
        <color theme="3" tint="0.79998168889431442"/>
      </font>
      <fill>
        <patternFill>
          <bgColor theme="4" tint="0.79998168889431442"/>
        </patternFill>
      </fill>
    </dxf>
    <dxf>
      <fill>
        <patternFill>
          <bgColor theme="1"/>
        </patternFill>
      </fill>
    </dxf>
    <dxf>
      <fill>
        <patternFill>
          <bgColor theme="1"/>
        </patternFill>
      </fill>
    </dxf>
    <dxf>
      <fill>
        <patternFill>
          <bgColor rgb="FFFF0000"/>
        </patternFill>
      </fill>
    </dxf>
    <dxf>
      <fill>
        <patternFill>
          <bgColor theme="1"/>
        </patternFill>
      </fill>
    </dxf>
  </dxfs>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13" Type="http://schemas.openxmlformats.org/officeDocument/2006/relationships/worksheet" Target="worksheets/sheet13.xml"/><Relationship Id="rId18" Type="http://schemas.openxmlformats.org/officeDocument/2006/relationships/sharedStrings" Target="sharedStrings.xml"/><Relationship Id="rId3" Type="http://schemas.openxmlformats.org/officeDocument/2006/relationships/worksheet" Target="worksheets/sheet3.xml"/><Relationship Id="rId7" Type="http://schemas.openxmlformats.org/officeDocument/2006/relationships/worksheet" Target="worksheets/sheet7.xml"/><Relationship Id="rId12" Type="http://schemas.openxmlformats.org/officeDocument/2006/relationships/worksheet" Target="worksheets/sheet12.xml"/><Relationship Id="rId17" Type="http://schemas.openxmlformats.org/officeDocument/2006/relationships/styles" Target="styles.xml"/><Relationship Id="rId2" Type="http://schemas.openxmlformats.org/officeDocument/2006/relationships/worksheet" Target="worksheets/sheet2.xml"/><Relationship Id="rId16" Type="http://schemas.openxmlformats.org/officeDocument/2006/relationships/theme" Target="theme/theme1.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worksheet" Target="worksheets/sheet11.xml"/><Relationship Id="rId5" Type="http://schemas.openxmlformats.org/officeDocument/2006/relationships/worksheet" Target="worksheets/sheet5.xml"/><Relationship Id="rId15" Type="http://schemas.openxmlformats.org/officeDocument/2006/relationships/externalLink" Target="externalLinks/externalLink1.xml"/><Relationship Id="rId10" Type="http://schemas.openxmlformats.org/officeDocument/2006/relationships/worksheet" Target="worksheets/sheet10.xml"/><Relationship Id="rId19" Type="http://schemas.openxmlformats.org/officeDocument/2006/relationships/calcChain" Target="calcChain.xml"/><Relationship Id="rId4" Type="http://schemas.openxmlformats.org/officeDocument/2006/relationships/worksheet" Target="worksheets/sheet4.xml"/><Relationship Id="rId9" Type="http://schemas.openxmlformats.org/officeDocument/2006/relationships/worksheet" Target="worksheets/sheet9.xml"/><Relationship Id="rId14" Type="http://schemas.openxmlformats.org/officeDocument/2006/relationships/worksheet" Target="worksheets/sheet14.xml"/></Relationships>
</file>

<file path=xl/drawings/drawing1.xml><?xml version="1.0" encoding="utf-8"?>
<xdr:wsDr xmlns:xdr="http://schemas.openxmlformats.org/drawingml/2006/spreadsheetDrawing" xmlns:a="http://schemas.openxmlformats.org/drawingml/2006/main">
  <xdr:twoCellAnchor>
    <xdr:from>
      <xdr:col>11</xdr:col>
      <xdr:colOff>434131</xdr:colOff>
      <xdr:row>13</xdr:row>
      <xdr:rowOff>114301</xdr:rowOff>
    </xdr:from>
    <xdr:to>
      <xdr:col>11</xdr:col>
      <xdr:colOff>679449</xdr:colOff>
      <xdr:row>14</xdr:row>
      <xdr:rowOff>6354</xdr:rowOff>
    </xdr:to>
    <xdr:sp macro="" textlink="">
      <xdr:nvSpPr>
        <xdr:cNvPr id="2" name="Arrow: Bent 1">
          <a:extLst>
            <a:ext uri="{FF2B5EF4-FFF2-40B4-BE49-F238E27FC236}">
              <a16:creationId xmlns:a16="http://schemas.microsoft.com/office/drawing/2014/main" id="{25E47137-18AD-051C-4804-0507B34B4560}"/>
            </a:ext>
          </a:extLst>
        </xdr:cNvPr>
        <xdr:cNvSpPr/>
      </xdr:nvSpPr>
      <xdr:spPr>
        <a:xfrm rot="5400000">
          <a:off x="7075063" y="3055519"/>
          <a:ext cx="158753" cy="245318"/>
        </a:xfrm>
        <a:prstGeom prst="bentArrow">
          <a:avLst>
            <a:gd name="adj1" fmla="val 25000"/>
            <a:gd name="adj2" fmla="val 47620"/>
            <a:gd name="adj3" fmla="val 25000"/>
            <a:gd name="adj4" fmla="val 43750"/>
          </a:avLst>
        </a:prstGeom>
        <a:solidFill>
          <a:schemeClr val="accent2"/>
        </a:solidFill>
        <a:ln>
          <a:solidFill>
            <a:schemeClr val="accent2"/>
          </a:solidFill>
        </a:ln>
      </xdr:spPr>
      <xdr:style>
        <a:lnRef idx="2">
          <a:schemeClr val="accent1">
            <a:shade val="15000"/>
          </a:schemeClr>
        </a:lnRef>
        <a:fillRef idx="1">
          <a:schemeClr val="accent1"/>
        </a:fillRef>
        <a:effectRef idx="0">
          <a:schemeClr val="accent1"/>
        </a:effectRef>
        <a:fontRef idx="minor">
          <a:schemeClr val="lt1"/>
        </a:fontRef>
      </xdr:style>
      <xdr:txBody>
        <a:bodyPr vertOverflow="clip" horzOverflow="clip" rtlCol="0" anchor="t"/>
        <a:lstStyle/>
        <a:p>
          <a:pPr algn="l"/>
          <a:endParaRPr lang="en-IN" sz="1100">
            <a:solidFill>
              <a:schemeClr val="tx1"/>
            </a:solidFill>
          </a:endParaRPr>
        </a:p>
      </xdr:txBody>
    </xdr:sp>
    <xdr:clientData/>
  </xdr:twoCellAnchor>
  <xdr:twoCellAnchor>
    <xdr:from>
      <xdr:col>10</xdr:col>
      <xdr:colOff>730250</xdr:colOff>
      <xdr:row>12</xdr:row>
      <xdr:rowOff>209550</xdr:rowOff>
    </xdr:from>
    <xdr:to>
      <xdr:col>11</xdr:col>
      <xdr:colOff>704850</xdr:colOff>
      <xdr:row>12</xdr:row>
      <xdr:rowOff>222250</xdr:rowOff>
    </xdr:to>
    <xdr:cxnSp macro="">
      <xdr:nvCxnSpPr>
        <xdr:cNvPr id="11" name="Straight Arrow Connector 10">
          <a:extLst>
            <a:ext uri="{FF2B5EF4-FFF2-40B4-BE49-F238E27FC236}">
              <a16:creationId xmlns:a16="http://schemas.microsoft.com/office/drawing/2014/main" id="{21CE445E-FD48-E70F-A928-61790F1B686A}"/>
            </a:ext>
          </a:extLst>
        </xdr:cNvPr>
        <xdr:cNvCxnSpPr/>
      </xdr:nvCxnSpPr>
      <xdr:spPr>
        <a:xfrm flipV="1">
          <a:off x="6546850" y="2927350"/>
          <a:ext cx="755650" cy="12700"/>
        </a:xfrm>
        <a:prstGeom prst="straightConnector1">
          <a:avLst/>
        </a:prstGeom>
        <a:ln>
          <a:tailEnd type="triangle"/>
        </a:ln>
      </xdr:spPr>
      <xdr:style>
        <a:lnRef idx="3">
          <a:schemeClr val="accent2"/>
        </a:lnRef>
        <a:fillRef idx="0">
          <a:schemeClr val="accent2"/>
        </a:fillRef>
        <a:effectRef idx="2">
          <a:schemeClr val="accent2"/>
        </a:effectRef>
        <a:fontRef idx="minor">
          <a:schemeClr val="tx1"/>
        </a:fontRef>
      </xdr:style>
    </xdr:cxnSp>
    <xdr:clientData/>
  </xdr:twoCellAnchor>
  <xdr:twoCellAnchor>
    <xdr:from>
      <xdr:col>7</xdr:col>
      <xdr:colOff>762000</xdr:colOff>
      <xdr:row>2</xdr:row>
      <xdr:rowOff>0</xdr:rowOff>
    </xdr:from>
    <xdr:to>
      <xdr:col>7</xdr:col>
      <xdr:colOff>768350</xdr:colOff>
      <xdr:row>3</xdr:row>
      <xdr:rowOff>44450</xdr:rowOff>
    </xdr:to>
    <xdr:cxnSp macro="">
      <xdr:nvCxnSpPr>
        <xdr:cNvPr id="4" name="Straight Arrow Connector 3">
          <a:extLst>
            <a:ext uri="{FF2B5EF4-FFF2-40B4-BE49-F238E27FC236}">
              <a16:creationId xmlns:a16="http://schemas.microsoft.com/office/drawing/2014/main" id="{C58AF423-E268-0B2E-FB39-66619ED06C29}"/>
            </a:ext>
          </a:extLst>
        </xdr:cNvPr>
        <xdr:cNvCxnSpPr/>
      </xdr:nvCxnSpPr>
      <xdr:spPr>
        <a:xfrm>
          <a:off x="4732020" y="518160"/>
          <a:ext cx="6350" cy="273050"/>
        </a:xfrm>
        <a:prstGeom prst="straightConnector1">
          <a:avLst/>
        </a:prstGeom>
        <a:ln>
          <a:tailEnd type="triangle"/>
        </a:ln>
      </xdr:spPr>
      <xdr:style>
        <a:lnRef idx="3">
          <a:schemeClr val="accent2"/>
        </a:lnRef>
        <a:fillRef idx="0">
          <a:schemeClr val="accent2"/>
        </a:fillRef>
        <a:effectRef idx="2">
          <a:schemeClr val="accent2"/>
        </a:effectRef>
        <a:fontRef idx="minor">
          <a:schemeClr val="tx1"/>
        </a:fontRef>
      </xdr:style>
    </xdr:cxnSp>
    <xdr:clientData/>
  </xdr:twoCellAnchor>
  <xdr:twoCellAnchor>
    <xdr:from>
      <xdr:col>12</xdr:col>
      <xdr:colOff>825500</xdr:colOff>
      <xdr:row>13</xdr:row>
      <xdr:rowOff>139700</xdr:rowOff>
    </xdr:from>
    <xdr:to>
      <xdr:col>12</xdr:col>
      <xdr:colOff>831850</xdr:colOff>
      <xdr:row>14</xdr:row>
      <xdr:rowOff>25400</xdr:rowOff>
    </xdr:to>
    <xdr:cxnSp macro="">
      <xdr:nvCxnSpPr>
        <xdr:cNvPr id="5" name="Straight Arrow Connector 4">
          <a:extLst>
            <a:ext uri="{FF2B5EF4-FFF2-40B4-BE49-F238E27FC236}">
              <a16:creationId xmlns:a16="http://schemas.microsoft.com/office/drawing/2014/main" id="{A614C00C-3B3B-050D-11E2-2D45662C9382}"/>
            </a:ext>
          </a:extLst>
        </xdr:cNvPr>
        <xdr:cNvCxnSpPr/>
      </xdr:nvCxnSpPr>
      <xdr:spPr>
        <a:xfrm>
          <a:off x="8274050" y="3136900"/>
          <a:ext cx="6350" cy="209550"/>
        </a:xfrm>
        <a:prstGeom prst="straightConnector1">
          <a:avLst/>
        </a:prstGeom>
        <a:ln>
          <a:tailEnd type="triangle"/>
        </a:ln>
      </xdr:spPr>
      <xdr:style>
        <a:lnRef idx="3">
          <a:schemeClr val="accent2"/>
        </a:lnRef>
        <a:fillRef idx="0">
          <a:schemeClr val="accent2"/>
        </a:fillRef>
        <a:effectRef idx="2">
          <a:schemeClr val="accent2"/>
        </a:effectRef>
        <a:fontRef idx="minor">
          <a:schemeClr val="tx1"/>
        </a:fontRef>
      </xdr:style>
    </xdr:cxnSp>
    <xdr:clientData/>
  </xdr:twoCellAnchor>
</xdr:wsDr>
</file>

<file path=xl/drawings/drawing2.xml><?xml version="1.0" encoding="utf-8"?>
<xdr:wsDr xmlns:xdr="http://schemas.openxmlformats.org/drawingml/2006/spreadsheetDrawing" xmlns:a="http://schemas.openxmlformats.org/drawingml/2006/main">
  <xdr:oneCellAnchor>
    <xdr:from>
      <xdr:col>9</xdr:col>
      <xdr:colOff>403225</xdr:colOff>
      <xdr:row>1</xdr:row>
      <xdr:rowOff>222251</xdr:rowOff>
    </xdr:from>
    <xdr:ext cx="5175250" cy="279399"/>
    <xdr:sp macro="" textlink="">
      <xdr:nvSpPr>
        <xdr:cNvPr id="2" name="TextBox 1">
          <a:extLst>
            <a:ext uri="{FF2B5EF4-FFF2-40B4-BE49-F238E27FC236}">
              <a16:creationId xmlns:a16="http://schemas.microsoft.com/office/drawing/2014/main" id="{C0AECF77-EA80-94D3-C719-8B64D1832F77}"/>
            </a:ext>
          </a:extLst>
        </xdr:cNvPr>
        <xdr:cNvSpPr txBox="1"/>
      </xdr:nvSpPr>
      <xdr:spPr>
        <a:xfrm>
          <a:off x="4165600" y="450851"/>
          <a:ext cx="5175250" cy="279399"/>
        </a:xfrm>
        <a:prstGeom prst="rect">
          <a:avLst/>
        </a:prstGeom>
        <a:ln/>
      </xdr:spPr>
      <xdr:style>
        <a:lnRef idx="1">
          <a:schemeClr val="accent2"/>
        </a:lnRef>
        <a:fillRef idx="3">
          <a:schemeClr val="accent2"/>
        </a:fillRef>
        <a:effectRef idx="2">
          <a:schemeClr val="accent2"/>
        </a:effectRef>
        <a:fontRef idx="minor">
          <a:schemeClr val="lt1"/>
        </a:fontRef>
      </xdr:style>
      <xdr:txBody>
        <a:bodyPr vertOverflow="clip" horzOverflow="clip" wrap="none" lIns="0" tIns="36000" rIns="0" bIns="36000" rtlCol="0" anchor="t">
          <a:noAutofit/>
        </a:bodyPr>
        <a:lstStyle/>
        <a:p>
          <a:pPr algn="ctr"/>
          <a:r>
            <a:rPr lang="en-IN" sz="1000" b="1" baseline="0"/>
            <a:t>To reflect values in ' Statement print ', change values in this sheet by e</a:t>
          </a:r>
          <a:r>
            <a:rPr lang="en-IN" sz="1000" b="1"/>
            <a:t>nter Pass word range : 123</a:t>
          </a:r>
        </a:p>
      </xdr:txBody>
    </xdr:sp>
    <xdr:clientData fPrintsWithSheet="0"/>
  </xdr:oneCellAnchor>
  <xdr:twoCellAnchor>
    <xdr:from>
      <xdr:col>0</xdr:col>
      <xdr:colOff>0</xdr:colOff>
      <xdr:row>0</xdr:row>
      <xdr:rowOff>152400</xdr:rowOff>
    </xdr:from>
    <xdr:to>
      <xdr:col>5</xdr:col>
      <xdr:colOff>104775</xdr:colOff>
      <xdr:row>1</xdr:row>
      <xdr:rowOff>206375</xdr:rowOff>
    </xdr:to>
    <xdr:sp macro="" textlink="">
      <xdr:nvSpPr>
        <xdr:cNvPr id="3" name="Rectangle 2">
          <a:extLst>
            <a:ext uri="{FF2B5EF4-FFF2-40B4-BE49-F238E27FC236}">
              <a16:creationId xmlns:a16="http://schemas.microsoft.com/office/drawing/2014/main" id="{60B74A40-3FF7-24D1-AB72-5848CFBB773E}"/>
            </a:ext>
          </a:extLst>
        </xdr:cNvPr>
        <xdr:cNvSpPr/>
      </xdr:nvSpPr>
      <xdr:spPr>
        <a:xfrm>
          <a:off x="0" y="152400"/>
          <a:ext cx="2457450" cy="282575"/>
        </a:xfrm>
        <a:prstGeom prst="rect">
          <a:avLst/>
        </a:prstGeom>
        <a:gradFill>
          <a:gsLst>
            <a:gs pos="0">
              <a:schemeClr val="accent6">
                <a:satMod val="103000"/>
                <a:tint val="94000"/>
                <a:alpha val="22000"/>
                <a:lumMod val="93000"/>
              </a:schemeClr>
            </a:gs>
            <a:gs pos="50000">
              <a:schemeClr val="accent6">
                <a:satMod val="110000"/>
                <a:lumMod val="100000"/>
                <a:shade val="100000"/>
              </a:schemeClr>
            </a:gs>
            <a:gs pos="100000">
              <a:schemeClr val="accent6">
                <a:lumMod val="99000"/>
                <a:satMod val="120000"/>
                <a:shade val="78000"/>
              </a:schemeClr>
            </a:gs>
          </a:gsLst>
        </a:gradFill>
      </xdr:spPr>
      <xdr:style>
        <a:lnRef idx="0">
          <a:schemeClr val="accent6"/>
        </a:lnRef>
        <a:fillRef idx="3">
          <a:schemeClr val="accent6"/>
        </a:fillRef>
        <a:effectRef idx="3">
          <a:schemeClr val="accent6"/>
        </a:effectRef>
        <a:fontRef idx="minor">
          <a:schemeClr val="lt1"/>
        </a:fontRef>
      </xdr:style>
      <xdr:txBody>
        <a:bodyPr vertOverflow="clip" horzOverflow="clip" rtlCol="0" anchor="t"/>
        <a:lstStyle/>
        <a:p>
          <a:pPr algn="l"/>
          <a:r>
            <a:rPr lang="en-IN" sz="1100"/>
            <a:t>it is only for editing,don't</a:t>
          </a:r>
          <a:r>
            <a:rPr lang="en-IN" sz="1100" baseline="0"/>
            <a:t> take print out</a:t>
          </a:r>
          <a:endParaRPr lang="en-IN" sz="1100"/>
        </a:p>
      </xdr:txBody>
    </xdr:sp>
    <xdr:clientData fPrintsWithSheet="0"/>
  </xdr:twoCellAnchor>
</xdr:wsDr>
</file>

<file path=xl/drawings/drawing3.xml><?xml version="1.0" encoding="utf-8"?>
<xdr:wsDr xmlns:xdr="http://schemas.openxmlformats.org/drawingml/2006/spreadsheetDrawing" xmlns:a="http://schemas.openxmlformats.org/drawingml/2006/main">
  <xdr:twoCellAnchor>
    <xdr:from>
      <xdr:col>16</xdr:col>
      <xdr:colOff>313690</xdr:colOff>
      <xdr:row>1</xdr:row>
      <xdr:rowOff>27940</xdr:rowOff>
    </xdr:from>
    <xdr:to>
      <xdr:col>21</xdr:col>
      <xdr:colOff>45720</xdr:colOff>
      <xdr:row>2</xdr:row>
      <xdr:rowOff>157480</xdr:rowOff>
    </xdr:to>
    <xdr:sp macro="" textlink="">
      <xdr:nvSpPr>
        <xdr:cNvPr id="5" name="Rectangle: Rounded Corners 4">
          <a:extLst>
            <a:ext uri="{FF2B5EF4-FFF2-40B4-BE49-F238E27FC236}">
              <a16:creationId xmlns:a16="http://schemas.microsoft.com/office/drawing/2014/main" id="{A1A740D5-969F-46FC-99FD-72497B546D59}"/>
            </a:ext>
          </a:extLst>
        </xdr:cNvPr>
        <xdr:cNvSpPr/>
      </xdr:nvSpPr>
      <xdr:spPr>
        <a:xfrm>
          <a:off x="7446010" y="607060"/>
          <a:ext cx="2673350" cy="350520"/>
        </a:xfrm>
        <a:prstGeom prst="roundRect">
          <a:avLst/>
        </a:prstGeom>
        <a:solidFill>
          <a:srgbClr val="7030A0"/>
        </a:solidFill>
        <a:ln>
          <a:noFill/>
        </a:ln>
        <a:effectLst>
          <a:outerShdw blurRad="44450" dist="27940" dir="5400000" algn="ctr">
            <a:srgbClr val="000000">
              <a:alpha val="32000"/>
            </a:srgbClr>
          </a:outerShdw>
        </a:effectLst>
        <a:scene3d>
          <a:camera prst="orthographicFront">
            <a:rot lat="0" lon="0" rev="0"/>
          </a:camera>
          <a:lightRig rig="balanced" dir="t">
            <a:rot lat="0" lon="0" rev="8700000"/>
          </a:lightRig>
        </a:scene3d>
        <a:sp3d>
          <a:bevelT w="190500" h="38100"/>
        </a:sp3d>
      </xdr:spPr>
      <xdr:style>
        <a:lnRef idx="2">
          <a:schemeClr val="accent1">
            <a:shade val="15000"/>
          </a:schemeClr>
        </a:lnRef>
        <a:fillRef idx="1">
          <a:schemeClr val="accent1"/>
        </a:fillRef>
        <a:effectRef idx="0">
          <a:schemeClr val="accent1"/>
        </a:effectRef>
        <a:fontRef idx="minor">
          <a:schemeClr val="lt1"/>
        </a:fontRef>
      </xdr:style>
      <xdr:txBody>
        <a:bodyPr vertOverflow="clip" horzOverflow="clip" rtlCol="0" anchor="ctr"/>
        <a:lstStyle/>
        <a:p>
          <a:pPr marL="0" marR="0" lvl="0" indent="0" algn="ctr" defTabSz="914400" eaLnBrk="1" fontAlgn="auto" latinLnBrk="0" hangingPunct="1">
            <a:lnSpc>
              <a:spcPct val="100000"/>
            </a:lnSpc>
            <a:spcBef>
              <a:spcPts val="0"/>
            </a:spcBef>
            <a:spcAft>
              <a:spcPts val="0"/>
            </a:spcAft>
            <a:buClrTx/>
            <a:buSzTx/>
            <a:buFontTx/>
            <a:buNone/>
            <a:tabLst/>
            <a:defRPr/>
          </a:pPr>
          <a:r>
            <a:rPr lang="en-IN" sz="1100" b="1">
              <a:solidFill>
                <a:schemeClr val="lt1"/>
              </a:solidFill>
              <a:effectLst/>
              <a:latin typeface="Arial Black" panose="020B0A04020102020204" pitchFamily="34" charset="0"/>
              <a:ea typeface="+mn-ea"/>
              <a:cs typeface="+mn-cs"/>
            </a:rPr>
            <a:t>MANUAL</a:t>
          </a:r>
          <a:r>
            <a:rPr lang="en-IN" sz="1100" b="1" baseline="0">
              <a:solidFill>
                <a:schemeClr val="lt1"/>
              </a:solidFill>
              <a:effectLst/>
              <a:latin typeface="Arial Black" panose="020B0A04020102020204" pitchFamily="34" charset="0"/>
              <a:ea typeface="+mn-ea"/>
              <a:cs typeface="+mn-cs"/>
            </a:rPr>
            <a:t> </a:t>
          </a:r>
          <a:r>
            <a:rPr lang="en-IN" sz="1100" b="1">
              <a:solidFill>
                <a:schemeClr val="lt1"/>
              </a:solidFill>
              <a:effectLst/>
              <a:latin typeface="Arial Black" panose="020B0A04020102020204" pitchFamily="34" charset="0"/>
              <a:ea typeface="+mn-ea"/>
              <a:cs typeface="+mn-cs"/>
            </a:rPr>
            <a:t>FORM-16 NOT VALID</a:t>
          </a:r>
          <a:endParaRPr lang="en-IN" sz="1100">
            <a:effectLst/>
            <a:latin typeface="Arial Black" panose="020B0A04020102020204" pitchFamily="34" charset="0"/>
          </a:endParaRPr>
        </a:p>
        <a:p>
          <a:pPr algn="ctr"/>
          <a:endParaRPr lang="en-IN" sz="1600">
            <a:latin typeface="Arial Black" panose="020B0A04020102020204" pitchFamily="34" charset="0"/>
          </a:endParaRPr>
        </a:p>
      </xdr:txBody>
    </xdr:sp>
    <xdr:clientData fPrintsWithSheet="0"/>
  </xdr:twoCellAnchor>
</xdr:wsDr>
</file>

<file path=xl/externalLinks/_rels/externalLink1.xml.rels><?xml version="1.0" encoding="UTF-8" standalone="yes"?>
<Relationships xmlns="http://schemas.openxmlformats.org/package/2006/relationships"><Relationship Id="rId1" Type="http://schemas.openxmlformats.org/officeDocument/2006/relationships/externalLinkPath" Target="/Users/ADVHA/Downloads/AP-IT%20FY%202020-21%20VIJAY%20KUMAR%2016.02.2021(Final%20version.2).xlsx" TargetMode="External"/></Relationships>
</file>

<file path=xl/externalLinks/externalLink1.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DATA"/>
      <sheetName val="Pro"/>
      <sheetName val="STATEMENT(Landscape)"/>
      <sheetName val="ANNEXURE(OLD SLAB)"/>
      <sheetName val="Form 10 E"/>
      <sheetName val="ANNEXURE-II"/>
      <sheetName val="FORM 16 FRONT"/>
      <sheetName val="FORM 16 BACK"/>
      <sheetName val="FORM 12BB"/>
      <sheetName val="RENT RECEIPT"/>
      <sheetName val="RUPEES CONVERSATION"/>
      <sheetName val="TDS"/>
      <sheetName val="Statement(Portrait)"/>
    </sheetNames>
    <sheetDataSet>
      <sheetData sheetId="0" refreshError="1"/>
      <sheetData sheetId="1">
        <row r="5">
          <cell r="A5" t="str">
            <v>Not Applicable</v>
          </cell>
        </row>
        <row r="500">
          <cell r="E500" t="str">
            <v xml:space="preserve">Children Tution Fee </v>
          </cell>
        </row>
        <row r="501">
          <cell r="E501" t="str">
            <v>Repayment of Home Loan Premium (principal component)</v>
          </cell>
          <cell r="AB501" t="str">
            <v>80E-Interest on Educational Loan</v>
          </cell>
        </row>
        <row r="502">
          <cell r="E502" t="str">
            <v>National Savings Certificate(NSC)</v>
          </cell>
          <cell r="AB502" t="str">
            <v>80U-deductions for disabled Person(blind,PH)-above 40%disability</v>
          </cell>
        </row>
        <row r="503">
          <cell r="E503" t="str">
            <v>LIC Annual Premiums Paid by Hand</v>
          </cell>
          <cell r="AB503" t="str">
            <v>80U-deductions for disabled Person(blind,PH)-above 80%disability</v>
          </cell>
        </row>
        <row r="504">
          <cell r="E504" t="str">
            <v>PLI Annual Premuim</v>
          </cell>
          <cell r="AB504" t="str">
            <v>80DD-Treatment of Handicapped Dependent-above 40%disability</v>
          </cell>
        </row>
        <row r="505">
          <cell r="E505" t="str">
            <v>Unit Linked Insurance Plan(ULIP)</v>
          </cell>
          <cell r="AB505" t="str">
            <v>80DD-Treatment of Handicapped Dependent-above 80%disability</v>
          </cell>
        </row>
        <row r="506">
          <cell r="E506" t="str">
            <v>5 Years Fixed Deposits (or)above</v>
          </cell>
          <cell r="AB506" t="str">
            <v>80D-Medical Insurance Premium-S.Citizens</v>
          </cell>
        </row>
        <row r="507">
          <cell r="E507" t="str">
            <v>Public Provident Fund</v>
          </cell>
          <cell r="AB507" t="str">
            <v>80D-Medical Insurance Premium-senior citizen dependent parents</v>
          </cell>
        </row>
        <row r="508">
          <cell r="E508" t="str">
            <v>Equity Linked Savings Scheme(ELSS)</v>
          </cell>
          <cell r="AB508" t="str">
            <v>80D-Medical Insurance Premium-Dependent Parents</v>
          </cell>
        </row>
        <row r="509">
          <cell r="E509" t="str">
            <v>SBI Life insurance</v>
          </cell>
          <cell r="AB509" t="str">
            <v xml:space="preserve">80D-Preventive Health Check up </v>
          </cell>
        </row>
        <row r="510">
          <cell r="E510" t="str">
            <v>Birla Sun Life insurance</v>
          </cell>
          <cell r="AB510" t="str">
            <v>80DDB-Expenditure on medical treatment (age below 60)</v>
          </cell>
        </row>
        <row r="511">
          <cell r="E511" t="str">
            <v>ICICI Life insurance</v>
          </cell>
          <cell r="AB511" t="str">
            <v>80DDB-Expenditure on M.treatment S.Citizen</v>
          </cell>
        </row>
        <row r="512">
          <cell r="E512" t="str">
            <v>HDFC Life insurance</v>
          </cell>
          <cell r="AB512" t="str">
            <v>80DDB-Expenditure on M.treatment Very S.Citizen</v>
          </cell>
        </row>
        <row r="513">
          <cell r="E513" t="str">
            <v>Reliance Life insurance</v>
          </cell>
          <cell r="AB513" t="str">
            <v>Auto Electric Vehicles Loan Interest   80EEB</v>
          </cell>
        </row>
        <row r="514">
          <cell r="E514" t="str">
            <v>Sukanya Samriddhi Scheme</v>
          </cell>
          <cell r="AB514" t="str">
            <v>80TTA-Interest on Savings account</v>
          </cell>
        </row>
        <row r="515">
          <cell r="E515" t="str">
            <v>UTI Retirement benefit pension fund</v>
          </cell>
          <cell r="AB515" t="str">
            <v>80TTB-interest earned from bank deposits, post offices or  co-operative banks-senior citizens</v>
          </cell>
        </row>
        <row r="516">
          <cell r="E516" t="str">
            <v>LIC / UTI  etc. Pension funds-80CCC</v>
          </cell>
          <cell r="AB516" t="str">
            <v>80G-Donation of Charitable Institution-100%</v>
          </cell>
        </row>
        <row r="517">
          <cell r="E517" t="str">
            <v>Stampduty and registration charges for a home</v>
          </cell>
          <cell r="AB517" t="str">
            <v>80G-Donation on certain specified fund-100%</v>
          </cell>
        </row>
        <row r="518">
          <cell r="AB518" t="str">
            <v>80G-Payments made to Electoral Trusts-100%</v>
          </cell>
        </row>
        <row r="519">
          <cell r="AB519" t="str">
            <v>80G-Donation of Charitable Institution-50%</v>
          </cell>
        </row>
        <row r="520">
          <cell r="AB520" t="str">
            <v>National Pension scheme investment</v>
          </cell>
        </row>
        <row r="521">
          <cell r="AB521" t="str">
            <v>80CCG-Rajiv Gandhi Equity Savings Scheme</v>
          </cell>
        </row>
        <row r="522">
          <cell r="AB522" t="str">
            <v>Gratuity</v>
          </cell>
        </row>
        <row r="523">
          <cell r="AB523" t="str">
            <v>Any other deductions</v>
          </cell>
        </row>
      </sheetData>
      <sheetData sheetId="2">
        <row r="5">
          <cell r="BX5">
            <v>15460</v>
          </cell>
        </row>
      </sheetData>
      <sheetData sheetId="3" refreshError="1"/>
      <sheetData sheetId="4" refreshError="1"/>
      <sheetData sheetId="5" refreshError="1"/>
      <sheetData sheetId="6" refreshError="1"/>
      <sheetData sheetId="7" refreshError="1"/>
      <sheetData sheetId="8" refreshError="1"/>
      <sheetData sheetId="9" refreshError="1"/>
      <sheetData sheetId="10" refreshError="1"/>
      <sheetData sheetId="11" refreshError="1"/>
      <sheetData sheetId="12" refreshError="1"/>
    </sheetDataSet>
  </externalBook>
</externalLink>
</file>

<file path=xl/theme/theme1.xml><?xml version="1.0" encoding="utf-8"?>
<a:theme xmlns:a="http://schemas.openxmlformats.org/drawingml/2006/main" name="Office 2013 - 2022 Theme">
  <a:themeElements>
    <a:clrScheme name="Office 2013 - 2022">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2013 - 2022">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2013 - 2022">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2013 - 2022 Theme" id="{62F939B6-93AF-4DB8-9C6B-D6C7DFDC589F}" vid="{4A3C46E8-61CC-4603-A589-7422A47A8E4A}"/>
    </a:ext>
  </a:extLst>
</a:theme>
</file>

<file path=xl/worksheets/_rels/sheet1.xml.rels><?xml version="1.0" encoding="UTF-8" standalone="yes"?>
<Relationships xmlns="http://schemas.openxmlformats.org/package/2006/relationships"><Relationship Id="rId8" Type="http://schemas.openxmlformats.org/officeDocument/2006/relationships/hyperlink" Target="http://www.medakbadi.in/" TargetMode="External"/><Relationship Id="rId13" Type="http://schemas.openxmlformats.org/officeDocument/2006/relationships/hyperlink" Target="https://www.medakbadi.in/p/claiming-medical-bill-software-medical.html" TargetMode="External"/><Relationship Id="rId18" Type="http://schemas.openxmlformats.org/officeDocument/2006/relationships/hyperlink" Target="https://www.medakbadi.in/2015/08/deecet-2015.html" TargetMode="External"/><Relationship Id="rId26" Type="http://schemas.openxmlformats.org/officeDocument/2006/relationships/vmlDrawing" Target="../drawings/vmlDrawing1.vml"/><Relationship Id="rId3" Type="http://schemas.openxmlformats.org/officeDocument/2006/relationships/hyperlink" Target="http://www.medakbadi.in/" TargetMode="External"/><Relationship Id="rId21" Type="http://schemas.openxmlformats.org/officeDocument/2006/relationships/hyperlink" Target="https://www.medakbadi.in/2024/12/ts-income-tax-software-fy-2024-25-ay.html" TargetMode="External"/><Relationship Id="rId7" Type="http://schemas.openxmlformats.org/officeDocument/2006/relationships/hyperlink" Target="http://www.medakbadi.in/" TargetMode="External"/><Relationship Id="rId12" Type="http://schemas.openxmlformats.org/officeDocument/2006/relationships/hyperlink" Target="https://www.medakbadi.in/2021/08/rps-2020-promotion-fixation-software.html" TargetMode="External"/><Relationship Id="rId17" Type="http://schemas.openxmlformats.org/officeDocument/2006/relationships/hyperlink" Target="https://www.medakbadi.in/2022/08/supplementary-leave-salary-arrears-bill.html" TargetMode="External"/><Relationship Id="rId25" Type="http://schemas.openxmlformats.org/officeDocument/2006/relationships/drawing" Target="../drawings/drawing1.xml"/><Relationship Id="rId2" Type="http://schemas.openxmlformats.org/officeDocument/2006/relationships/hyperlink" Target="http://www.medakbadi.in/" TargetMode="External"/><Relationship Id="rId16" Type="http://schemas.openxmlformats.org/officeDocument/2006/relationships/hyperlink" Target="https://www.medakbadi.in/2022/07/tds-form-24-q-software-fy-2022-23.html" TargetMode="External"/><Relationship Id="rId20" Type="http://schemas.openxmlformats.org/officeDocument/2006/relationships/hyperlink" Target="http://www.medakbadi.in/" TargetMode="External"/><Relationship Id="rId1" Type="http://schemas.openxmlformats.org/officeDocument/2006/relationships/hyperlink" Target="http://www.medakbadi.in/" TargetMode="External"/><Relationship Id="rId6" Type="http://schemas.openxmlformats.org/officeDocument/2006/relationships/hyperlink" Target="http://www.medakbadi.in/" TargetMode="External"/><Relationship Id="rId11" Type="http://schemas.openxmlformats.org/officeDocument/2006/relationships/hyperlink" Target="https://www.medakbadi.in/2021/07/rps-2020-aas-software-for-single.html" TargetMode="External"/><Relationship Id="rId24" Type="http://schemas.openxmlformats.org/officeDocument/2006/relationships/printerSettings" Target="../printerSettings/printerSettings1.bin"/><Relationship Id="rId5" Type="http://schemas.openxmlformats.org/officeDocument/2006/relationships/hyperlink" Target="http://www.medakbadi.in/" TargetMode="External"/><Relationship Id="rId15" Type="http://schemas.openxmlformats.org/officeDocument/2006/relationships/hyperlink" Target="https://www.medakbadi.in/2016/05/ts-pensioner-gos.html" TargetMode="External"/><Relationship Id="rId23" Type="http://schemas.openxmlformats.org/officeDocument/2006/relationships/hyperlink" Target="https://www.medakbadi.in/2024/12/ts-income-tax-software-fy-2024-25-ay.html" TargetMode="External"/><Relationship Id="rId10" Type="http://schemas.openxmlformats.org/officeDocument/2006/relationships/hyperlink" Target="https://www.medakbadi.in/2017/08/mid-day-meals-software-new-format.html" TargetMode="External"/><Relationship Id="rId19" Type="http://schemas.openxmlformats.org/officeDocument/2006/relationships/hyperlink" Target="http://www.medakbadi.in/" TargetMode="External"/><Relationship Id="rId4" Type="http://schemas.openxmlformats.org/officeDocument/2006/relationships/hyperlink" Target="http://www.medakbadi.in/" TargetMode="External"/><Relationship Id="rId9" Type="http://schemas.openxmlformats.org/officeDocument/2006/relationships/hyperlink" Target="https://www.medakbadi.in/2023/10/annual-grade-increment-agi-and-all-type.html" TargetMode="External"/><Relationship Id="rId14" Type="http://schemas.openxmlformats.org/officeDocument/2006/relationships/hyperlink" Target="https://www.medakbadi.in/2021/08/rps-2020-gpf-loan-and-part-final.html" TargetMode="External"/><Relationship Id="rId22" Type="http://schemas.openxmlformats.org/officeDocument/2006/relationships/hyperlink" Target="http://www.medakbadi.in/" TargetMode="External"/><Relationship Id="rId27" Type="http://schemas.openxmlformats.org/officeDocument/2006/relationships/comments" Target="../comments1.xml"/></Relationships>
</file>

<file path=xl/worksheets/_rels/sheet2.xml.rels><?xml version="1.0" encoding="UTF-8" standalone="yes"?>
<Relationships xmlns="http://schemas.openxmlformats.org/package/2006/relationships"><Relationship Id="rId2" Type="http://schemas.openxmlformats.org/officeDocument/2006/relationships/drawing" Target="../drawings/drawing2.xml"/><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1" Type="http://schemas.openxmlformats.org/officeDocument/2006/relationships/printerSettings" Target="../printerSettings/printerSettings3.bin"/></Relationships>
</file>

<file path=xl/worksheets/_rels/sheet4.xml.rels><?xml version="1.0" encoding="UTF-8" standalone="yes"?>
<Relationships xmlns="http://schemas.openxmlformats.org/package/2006/relationships"><Relationship Id="rId1" Type="http://schemas.openxmlformats.org/officeDocument/2006/relationships/printerSettings" Target="../printerSettings/printerSettings4.bin"/></Relationships>
</file>

<file path=xl/worksheets/_rels/sheet6.xml.rels><?xml version="1.0" encoding="UTF-8" standalone="yes"?>
<Relationships xmlns="http://schemas.openxmlformats.org/package/2006/relationships"><Relationship Id="rId2" Type="http://schemas.openxmlformats.org/officeDocument/2006/relationships/drawing" Target="../drawings/drawing3.xml"/><Relationship Id="rId1" Type="http://schemas.openxmlformats.org/officeDocument/2006/relationships/printerSettings" Target="../printerSettings/printerSettings5.bin"/></Relationships>
</file>

<file path=xl/worksheets/_rels/sheet7.xml.rels><?xml version="1.0" encoding="UTF-8" standalone="yes"?>
<Relationships xmlns="http://schemas.openxmlformats.org/package/2006/relationships"><Relationship Id="rId1" Type="http://schemas.openxmlformats.org/officeDocument/2006/relationships/printerSettings" Target="../printerSettings/printerSettings6.bin"/></Relationships>
</file>

<file path=xl/worksheets/_rels/sheet8.xml.rels><?xml version="1.0" encoding="UTF-8" standalone="yes"?>
<Relationships xmlns="http://schemas.openxmlformats.org/package/2006/relationships"><Relationship Id="rId1" Type="http://schemas.openxmlformats.org/officeDocument/2006/relationships/printerSettings" Target="../printerSettings/printerSettings7.bin"/></Relationships>
</file>

<file path=xl/worksheets/_rels/sheet9.xml.rels><?xml version="1.0" encoding="UTF-8" standalone="yes"?>
<Relationships xmlns="http://schemas.openxmlformats.org/package/2006/relationships"><Relationship Id="rId1" Type="http://schemas.openxmlformats.org/officeDocument/2006/relationships/printerSettings" Target="../printerSettings/printerSettings8.bin"/></Relationships>
</file>

<file path=xl/worksheets/_rels/sheet10.xml.rels><?xml version="1.0" encoding="UTF-8" standalone="yes"?>
<Relationships xmlns="http://schemas.openxmlformats.org/package/2006/relationships"><Relationship Id="rId1" Type="http://schemas.openxmlformats.org/officeDocument/2006/relationships/printerSettings" Target="../printerSettings/printerSettings9.bin"/></Relationships>
</file>

<file path=xl/worksheets/_rels/sheet11.xml.rels><?xml version="1.0" encoding="UTF-8" standalone="yes"?>
<Relationships xmlns="http://schemas.openxmlformats.org/package/2006/relationships"><Relationship Id="rId1" Type="http://schemas.openxmlformats.org/officeDocument/2006/relationships/printerSettings" Target="../printerSettings/printerSettings10.bin"/></Relationships>
</file>

<file path=xl/worksheets/_rels/sheet13.xml.rels><?xml version="1.0" encoding="UTF-8" standalone="yes"?>
<Relationships xmlns="http://schemas.openxmlformats.org/package/2006/relationships"><Relationship Id="rId3" Type="http://schemas.openxmlformats.org/officeDocument/2006/relationships/printerSettings" Target="../printerSettings/printerSettings11.bin"/><Relationship Id="rId2" Type="http://schemas.openxmlformats.org/officeDocument/2006/relationships/hyperlink" Target="https://tax2win.in/guide/section-87a" TargetMode="External"/><Relationship Id="rId1" Type="http://schemas.openxmlformats.org/officeDocument/2006/relationships/hyperlink" Target="https://tax2win.in/guide/marginal-relief-surcharge" TargetMode="External"/></Relationships>
</file>

<file path=xl/worksheets/_rels/sheet14.xml.rels><?xml version="1.0" encoding="UTF-8" standalone="yes"?>
<Relationships xmlns="http://schemas.openxmlformats.org/package/2006/relationships"><Relationship Id="rId1" Type="http://schemas.openxmlformats.org/officeDocument/2006/relationships/printerSettings" Target="../printerSettings/printerSettings12.bin"/></Relationships>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AEAA28AB-A1A7-4352-BD69-304DC12B3D26}">
  <sheetPr codeName="Sheet2">
    <tabColor rgb="FFC00000"/>
  </sheetPr>
  <dimension ref="A1:XEK136"/>
  <sheetViews>
    <sheetView showGridLines="0" tabSelected="1" zoomScaleNormal="100" workbookViewId="0">
      <selection activeCell="E4" sqref="E4"/>
    </sheetView>
  </sheetViews>
  <sheetFormatPr defaultColWidth="8.7109375" defaultRowHeight="15" x14ac:dyDescent="0.25"/>
  <cols>
    <col min="1" max="1" width="3.140625" customWidth="1"/>
    <col min="2" max="2" width="9.85546875" customWidth="1"/>
    <col min="3" max="3" width="10.5703125" customWidth="1"/>
    <col min="4" max="4" width="10.7109375" customWidth="1"/>
    <col min="5" max="5" width="10" customWidth="1"/>
    <col min="6" max="6" width="9.28515625" customWidth="1"/>
    <col min="7" max="7" width="7.42578125" customWidth="1"/>
    <col min="8" max="8" width="11.28515625" customWidth="1"/>
    <col min="9" max="9" width="14.5703125" customWidth="1"/>
    <col min="10" max="10" width="3.140625" customWidth="1"/>
    <col min="11" max="11" width="15" customWidth="1"/>
    <col min="12" max="12" width="13" customWidth="1"/>
    <col min="13" max="13" width="15.28515625" customWidth="1"/>
    <col min="14" max="14" width="20.140625" customWidth="1"/>
    <col min="15" max="15" width="17.140625" customWidth="1"/>
    <col min="16" max="16" width="4.7109375" customWidth="1"/>
    <col min="17" max="17" width="19.42578125" customWidth="1"/>
    <col min="18" max="18" width="21.85546875" customWidth="1"/>
    <col min="19" max="19" width="2.85546875" customWidth="1"/>
    <col min="20" max="22" width="0.7109375" hidden="1" customWidth="1"/>
    <col min="23" max="23" width="1.28515625" customWidth="1"/>
    <col min="24" max="24" width="12" customWidth="1"/>
    <col min="25" max="25" width="11.7109375" customWidth="1"/>
    <col min="26" max="26" width="7.28515625" customWidth="1"/>
    <col min="27" max="27" width="11.5703125" customWidth="1"/>
    <col min="28" max="28" width="11.28515625" customWidth="1"/>
    <col min="29" max="29" width="9.85546875" customWidth="1"/>
    <col min="30" max="30" width="12.140625" customWidth="1"/>
    <col min="31" max="31" width="5.85546875" customWidth="1"/>
    <col min="32" max="32" width="5.28515625" customWidth="1"/>
    <col min="33" max="33" width="10.42578125" customWidth="1"/>
    <col min="34" max="34" width="7.7109375" customWidth="1"/>
    <col min="35" max="36" width="7.7109375" hidden="1" customWidth="1"/>
    <col min="37" max="37" width="10.140625" hidden="1" customWidth="1"/>
    <col min="38" max="38" width="9.7109375" hidden="1" customWidth="1"/>
    <col min="39" max="39" width="7.7109375" hidden="1" customWidth="1"/>
    <col min="40" max="40" width="7.85546875" hidden="1" customWidth="1"/>
    <col min="41" max="41" width="7.7109375" hidden="1" customWidth="1"/>
    <col min="42" max="42" width="13.7109375" hidden="1" customWidth="1"/>
    <col min="43" max="43" width="7.7109375" hidden="1" customWidth="1"/>
    <col min="44" max="44" width="14" hidden="1" customWidth="1"/>
    <col min="45" max="45" width="12.28515625" hidden="1" customWidth="1"/>
    <col min="46" max="46" width="12.42578125" hidden="1" customWidth="1"/>
    <col min="47" max="47" width="15.140625" hidden="1" customWidth="1"/>
    <col min="48" max="48" width="7.7109375" hidden="1" customWidth="1"/>
    <col min="49" max="49" width="8.28515625" hidden="1" customWidth="1"/>
    <col min="50" max="50" width="7.7109375" hidden="1" customWidth="1"/>
    <col min="51" max="51" width="8.7109375" hidden="1" customWidth="1"/>
    <col min="52" max="52" width="9" hidden="1" customWidth="1"/>
    <col min="53" max="53" width="8.42578125" hidden="1" customWidth="1"/>
    <col min="54" max="54" width="11.5703125" hidden="1" customWidth="1"/>
    <col min="55" max="55" width="9.5703125" hidden="1" customWidth="1"/>
    <col min="56" max="56" width="7.7109375" hidden="1" customWidth="1"/>
    <col min="57" max="57" width="10.42578125" hidden="1" customWidth="1"/>
    <col min="58" max="58" width="14.28515625" hidden="1" customWidth="1"/>
    <col min="59" max="62" width="7.7109375" hidden="1" customWidth="1"/>
    <col min="63" max="63" width="10.7109375" hidden="1" customWidth="1"/>
    <col min="64" max="64" width="10.28515625" hidden="1" customWidth="1"/>
    <col min="65" max="67" width="8.7109375" hidden="1" customWidth="1"/>
    <col min="68" max="69" width="10.7109375" hidden="1" customWidth="1"/>
    <col min="70" max="71" width="8.7109375" hidden="1" customWidth="1"/>
    <col min="72" max="72" width="10.7109375" hidden="1" customWidth="1"/>
    <col min="73" max="74" width="8.7109375" hidden="1" customWidth="1"/>
    <col min="75" max="75" width="10.7109375" hidden="1" customWidth="1"/>
    <col min="76" max="76" width="8.7109375" hidden="1" customWidth="1"/>
    <col min="77" max="77" width="16.7109375" hidden="1" customWidth="1"/>
    <col min="78" max="81" width="8.7109375" hidden="1" customWidth="1"/>
    <col min="82" max="84" width="10.7109375" hidden="1" customWidth="1"/>
    <col min="85" max="85" width="13.42578125" hidden="1" customWidth="1"/>
    <col min="86" max="86" width="10.140625" hidden="1" customWidth="1"/>
    <col min="87" max="87" width="11.85546875" hidden="1" customWidth="1"/>
    <col min="88" max="88" width="11.140625" hidden="1" customWidth="1"/>
    <col min="89" max="90" width="8.7109375" hidden="1" customWidth="1"/>
    <col min="91" max="91" width="10.42578125" hidden="1" customWidth="1"/>
    <col min="92" max="93" width="8.7109375" hidden="1" customWidth="1"/>
    <col min="94" max="94" width="12.140625" hidden="1" customWidth="1"/>
    <col min="95" max="95" width="14.28515625" hidden="1" customWidth="1"/>
    <col min="96" max="96" width="8.7109375" hidden="1" customWidth="1"/>
    <col min="97" max="97" width="18.42578125" hidden="1" customWidth="1"/>
    <col min="98" max="100" width="8.7109375" hidden="1" customWidth="1"/>
    <col min="101" max="102" width="13.5703125" hidden="1" customWidth="1"/>
    <col min="103" max="104" width="8.7109375" hidden="1" customWidth="1"/>
    <col min="105" max="105" width="22.42578125" hidden="1" customWidth="1"/>
    <col min="106" max="106" width="10.42578125" hidden="1" customWidth="1"/>
    <col min="107" max="107" width="15.85546875" hidden="1" customWidth="1"/>
    <col min="108" max="108" width="8.7109375" hidden="1" customWidth="1"/>
    <col min="109" max="109" width="10.42578125" hidden="1" customWidth="1"/>
    <col min="110" max="110" width="12.7109375" hidden="1" customWidth="1"/>
    <col min="111" max="111" width="10.7109375" hidden="1" customWidth="1"/>
    <col min="112" max="112" width="11.5703125" hidden="1" customWidth="1"/>
    <col min="113" max="114" width="8.7109375" hidden="1" customWidth="1"/>
    <col min="115" max="115" width="13.140625" hidden="1" customWidth="1"/>
    <col min="116" max="116" width="13.7109375" hidden="1" customWidth="1"/>
    <col min="117" max="126" width="8.7109375" hidden="1" customWidth="1"/>
    <col min="127" max="127" width="13.140625" hidden="1" customWidth="1"/>
    <col min="128" max="128" width="8.7109375" hidden="1" customWidth="1"/>
    <col min="129" max="130" width="10.7109375" hidden="1" customWidth="1"/>
    <col min="131" max="135" width="8.7109375" hidden="1" customWidth="1"/>
    <col min="136" max="136" width="9.7109375" hidden="1" customWidth="1"/>
    <col min="137" max="142" width="8.7109375" hidden="1" customWidth="1"/>
    <col min="143" max="143" width="11.5703125" hidden="1" customWidth="1"/>
    <col min="144" max="144" width="10.5703125" hidden="1" customWidth="1"/>
    <col min="145" max="145" width="11.42578125" hidden="1" customWidth="1"/>
    <col min="146" max="146" width="16.28515625" hidden="1" customWidth="1"/>
    <col min="147" max="147" width="12" hidden="1" customWidth="1"/>
    <col min="148" max="150" width="8.7109375" hidden="1" customWidth="1"/>
    <col min="151" max="151" width="10.42578125" hidden="1" customWidth="1"/>
    <col min="152" max="152" width="12" hidden="1" customWidth="1"/>
    <col min="153" max="153" width="8.28515625" hidden="1" customWidth="1"/>
    <col min="154" max="154" width="13.28515625" hidden="1" customWidth="1"/>
    <col min="155" max="155" width="4.7109375" hidden="1" customWidth="1"/>
    <col min="156" max="156" width="10.42578125" hidden="1" customWidth="1"/>
    <col min="157" max="157" width="12" hidden="1" customWidth="1"/>
    <col min="158" max="158" width="9.28515625" hidden="1" customWidth="1"/>
    <col min="159" max="159" width="4.28515625" hidden="1" customWidth="1"/>
    <col min="160" max="160" width="8.7109375" hidden="1" customWidth="1"/>
    <col min="161" max="162" width="10.42578125" hidden="1" customWidth="1"/>
    <col min="163" max="165" width="8.7109375" hidden="1" customWidth="1"/>
    <col min="166" max="167" width="10.42578125" hidden="1" customWidth="1"/>
    <col min="168" max="180" width="8.7109375" hidden="1" customWidth="1"/>
    <col min="181" max="181" width="14.28515625" hidden="1" customWidth="1"/>
    <col min="182" max="182" width="10.42578125" hidden="1" customWidth="1"/>
    <col min="183" max="184" width="8.7109375" hidden="1" customWidth="1"/>
    <col min="185" max="185" width="10.42578125" hidden="1" customWidth="1"/>
    <col min="186" max="190" width="8.7109375" hidden="1" customWidth="1"/>
    <col min="191" max="192" width="10.42578125" hidden="1" customWidth="1"/>
    <col min="193" max="193" width="13.7109375" hidden="1" customWidth="1"/>
    <col min="194" max="194" width="14.5703125" hidden="1" customWidth="1"/>
    <col min="195" max="195" width="15.7109375" hidden="1" customWidth="1"/>
    <col min="196" max="16365" width="8.7109375" hidden="1" customWidth="1"/>
    <col min="16366" max="16383" width="8.7109375" customWidth="1"/>
    <col min="16384" max="16384" width="11.7109375" customWidth="1"/>
  </cols>
  <sheetData>
    <row r="1" spans="1:195" ht="22.9" customHeight="1" thickBot="1" x14ac:dyDescent="0.3">
      <c r="A1" s="956" t="str">
        <f>"AP  INCOME TAX SOFTWARE FOR FY "&amp;CH4&amp;"  (AY"&amp;CI4&amp;")  TRAIL&gt;&gt;WWW.MEDAKBADI.IN &lt;&lt;&lt; (A4 Size Prints)"</f>
        <v>AP  INCOME TAX SOFTWARE FOR FY 2025-2026  (AY2026-2027)  TRAIL&gt;&gt;WWW.MEDAKBADI.IN &lt;&lt;&lt; (A4 Size Prints)</v>
      </c>
      <c r="B1" s="523"/>
      <c r="C1" s="523"/>
      <c r="D1" s="523"/>
      <c r="E1" s="523"/>
      <c r="F1" s="523"/>
      <c r="G1" s="523"/>
      <c r="H1" s="523"/>
      <c r="I1" s="523"/>
      <c r="J1" s="523"/>
      <c r="K1" s="523"/>
      <c r="L1" s="523"/>
      <c r="M1" s="523"/>
      <c r="N1" s="523"/>
      <c r="O1" s="523"/>
      <c r="P1" s="611"/>
      <c r="Q1" s="1166" t="s">
        <v>769</v>
      </c>
      <c r="R1" s="1167"/>
      <c r="S1" s="601"/>
      <c r="W1" s="33"/>
      <c r="X1" s="33"/>
      <c r="Y1" s="33"/>
      <c r="Z1" s="33"/>
      <c r="AA1" s="33"/>
      <c r="AB1" s="33"/>
      <c r="AC1" s="33"/>
      <c r="AD1" s="33"/>
      <c r="AE1" s="486"/>
      <c r="AF1" s="33"/>
      <c r="BK1" s="4">
        <v>44651</v>
      </c>
      <c r="CH1" s="8" t="s">
        <v>51</v>
      </c>
      <c r="CI1" s="8" t="s">
        <v>52</v>
      </c>
      <c r="CJ1" t="s">
        <v>53</v>
      </c>
      <c r="CT1" s="638" t="s">
        <v>770</v>
      </c>
      <c r="CU1" s="806">
        <v>1</v>
      </c>
      <c r="CV1" s="806">
        <v>3</v>
      </c>
      <c r="CW1" s="806">
        <v>2025</v>
      </c>
      <c r="CX1" s="806" t="str">
        <f>TEXT(CW4,"mmm-yyyy")</f>
        <v>Mar-2025</v>
      </c>
      <c r="DM1" s="227" t="s">
        <v>457</v>
      </c>
      <c r="DN1" s="228">
        <f>SUMIF($DK$4:$DK$55,"&lt;="&amp;$DT$2,$DM$4:$DM$55)</f>
        <v>1</v>
      </c>
      <c r="DQ1" s="230" t="s">
        <v>29</v>
      </c>
      <c r="DR1" s="230" t="s">
        <v>30</v>
      </c>
      <c r="DT1" s="18" t="s">
        <v>69</v>
      </c>
      <c r="DU1" s="11">
        <f>SUMIF($DK$4:$DK$55,"&lt;="&amp;$DT$2,$DS$4:$DS$55)</f>
        <v>1</v>
      </c>
      <c r="EB1" s="18"/>
      <c r="EC1" s="18"/>
      <c r="ED1" s="18"/>
      <c r="EE1" s="18"/>
      <c r="EG1">
        <f>EG5*EH5</f>
        <v>900</v>
      </c>
      <c r="EJ1" s="398" t="s">
        <v>591</v>
      </c>
      <c r="EK1" t="s">
        <v>589</v>
      </c>
      <c r="EL1">
        <v>1</v>
      </c>
      <c r="EM1">
        <v>2024</v>
      </c>
      <c r="EN1" s="397">
        <f>DATE(EM1,EL1,1)</f>
        <v>45292</v>
      </c>
      <c r="EO1" s="396"/>
      <c r="EP1" s="20">
        <f>EN1</f>
        <v>45292</v>
      </c>
      <c r="EQ1" s="5">
        <v>45930</v>
      </c>
      <c r="ER1" s="399">
        <f>EOMONTH(EN3,0)</f>
        <v>45930</v>
      </c>
      <c r="ES1" s="4"/>
      <c r="EU1" s="5">
        <f>EDATE(EP1,6)</f>
        <v>45474</v>
      </c>
      <c r="EV1" s="5">
        <v>45808</v>
      </c>
      <c r="EZ1" s="5">
        <f>EDATE(EU1,6)</f>
        <v>45658</v>
      </c>
      <c r="FA1" s="5">
        <f>EOMONTH(EZ1,6)</f>
        <v>45869</v>
      </c>
      <c r="FB1" s="4"/>
      <c r="FC1" s="4"/>
      <c r="FD1" s="4"/>
      <c r="FE1" s="5">
        <f>EDATE(EZ1,6)</f>
        <v>45839</v>
      </c>
      <c r="FF1" s="5">
        <f>EOMONTH(FE1,6)</f>
        <v>46053</v>
      </c>
      <c r="FG1" s="4"/>
      <c r="FH1" s="4"/>
      <c r="FI1" s="4"/>
      <c r="FJ1" s="5">
        <f>EDATE(FE1,6)</f>
        <v>46023</v>
      </c>
      <c r="FK1" s="5">
        <f>EOMONTH(FJ1,6)</f>
        <v>46234</v>
      </c>
      <c r="FL1" s="4"/>
      <c r="FM1" s="4"/>
      <c r="FN1" s="4"/>
      <c r="FO1" s="4"/>
      <c r="FP1" s="4"/>
      <c r="FQ1" s="4"/>
      <c r="FR1" s="4"/>
      <c r="FS1" s="4"/>
      <c r="FT1" s="4"/>
      <c r="FU1" s="4"/>
      <c r="FV1" s="4"/>
    </row>
    <row r="2" spans="1:195" ht="20.45" customHeight="1" x14ac:dyDescent="0.25">
      <c r="A2" s="957" t="s">
        <v>725</v>
      </c>
      <c r="B2" s="524"/>
      <c r="C2" s="524"/>
      <c r="D2" s="524"/>
      <c r="E2" s="524"/>
      <c r="F2" s="524"/>
      <c r="G2" s="524"/>
      <c r="H2" s="524"/>
      <c r="I2" s="524"/>
      <c r="J2" s="524"/>
      <c r="K2" s="524"/>
      <c r="L2" s="524"/>
      <c r="M2" s="524"/>
      <c r="N2" s="524"/>
      <c r="O2" s="524"/>
      <c r="P2" s="612"/>
      <c r="Q2" s="1166"/>
      <c r="R2" s="1167"/>
      <c r="S2" s="601"/>
      <c r="W2" s="33"/>
      <c r="X2" s="1016" t="s">
        <v>758</v>
      </c>
      <c r="Y2" s="1016"/>
      <c r="Z2" s="1016"/>
      <c r="AA2" s="1016"/>
      <c r="AB2" s="1016"/>
      <c r="AC2" s="1016"/>
      <c r="AD2" s="1016"/>
      <c r="AE2" s="486"/>
      <c r="AF2" s="33"/>
      <c r="CH2" s="8">
        <v>2025</v>
      </c>
      <c r="CI2" s="8">
        <f>CH3</f>
        <v>2026</v>
      </c>
      <c r="CJ2" s="9">
        <f>EOMONTH(DATE(CH3,2,1),0)+0.002</f>
        <v>46081.002</v>
      </c>
      <c r="CP2" s="465">
        <f>MAX($CP$4:$CP$92)</f>
        <v>200050</v>
      </c>
      <c r="CV2" t="s">
        <v>66</v>
      </c>
      <c r="DM2" s="23">
        <f>IFERROR(MATCH(M6,$CU$4:$CU$15,0),"")</f>
        <v>5</v>
      </c>
      <c r="DQ2" s="470"/>
      <c r="DR2" s="230" t="str">
        <f>IF(O10=$CS$6,O11,"")</f>
        <v/>
      </c>
      <c r="DS2" s="220" t="s">
        <v>68</v>
      </c>
      <c r="DT2" s="21">
        <f>IFERROR(INDEX($CW$4:$CW$48,MATCH(M4,$CV$4:$CV$48,0),1),CX1)</f>
        <v>46023</v>
      </c>
      <c r="DU2" s="3">
        <f>M5</f>
        <v>74770</v>
      </c>
      <c r="EK2" t="s">
        <v>590</v>
      </c>
      <c r="EL2">
        <v>9</v>
      </c>
      <c r="EM2">
        <v>2025</v>
      </c>
      <c r="EN2" s="397">
        <f>DATE(EM2,EL2,1)</f>
        <v>45901</v>
      </c>
      <c r="EO2" s="396"/>
      <c r="EP2" s="508">
        <v>33.67</v>
      </c>
      <c r="EQ2" s="508">
        <v>37.31</v>
      </c>
      <c r="ER2" s="396">
        <f>EQ2-EP2</f>
        <v>3.6400000000000006</v>
      </c>
      <c r="ES2" s="396"/>
      <c r="ET2" s="396">
        <f>EV2-EU2</f>
        <v>3.6400000000000006</v>
      </c>
      <c r="EU2" s="507">
        <v>30.03</v>
      </c>
      <c r="EV2" s="507">
        <v>33.67</v>
      </c>
      <c r="EY2">
        <f>FA2-EZ2</f>
        <v>3.6400000000000006</v>
      </c>
      <c r="EZ2" s="8">
        <v>30.03</v>
      </c>
      <c r="FA2" s="8">
        <v>33.67</v>
      </c>
      <c r="FB2" s="315"/>
      <c r="FC2" s="315"/>
      <c r="FD2" s="315"/>
      <c r="FE2" s="8">
        <v>33.67</v>
      </c>
      <c r="FF2" s="8">
        <v>33.67</v>
      </c>
      <c r="FG2" s="315"/>
      <c r="FH2" s="315"/>
      <c r="FI2" s="315"/>
      <c r="FJ2" s="8">
        <v>33.67</v>
      </c>
      <c r="FK2" s="8">
        <v>37.31</v>
      </c>
      <c r="FY2" s="813" t="s">
        <v>1011</v>
      </c>
      <c r="FZ2" s="813" t="s">
        <v>1012</v>
      </c>
      <c r="GA2" s="813" t="s">
        <v>78</v>
      </c>
      <c r="GF2" s="1" t="s">
        <v>589</v>
      </c>
      <c r="GG2" s="8" t="s">
        <v>663</v>
      </c>
      <c r="GH2" s="8" t="s">
        <v>664</v>
      </c>
      <c r="GI2" s="1" t="s">
        <v>661</v>
      </c>
      <c r="GJ2" s="1" t="s">
        <v>660</v>
      </c>
      <c r="GK2" s="1" t="s">
        <v>662</v>
      </c>
      <c r="GL2" s="506" t="s">
        <v>665</v>
      </c>
      <c r="GM2" s="1" t="s">
        <v>666</v>
      </c>
    </row>
    <row r="3" spans="1:195" ht="22.9" customHeight="1" thickBot="1" x14ac:dyDescent="0.3">
      <c r="A3" s="1009" t="s">
        <v>1046</v>
      </c>
      <c r="B3" s="1009"/>
      <c r="C3" s="1009"/>
      <c r="D3" s="1009"/>
      <c r="E3" s="1010" t="s">
        <v>466</v>
      </c>
      <c r="F3" s="1010"/>
      <c r="G3" s="1010"/>
      <c r="H3" s="1003" t="s">
        <v>1125</v>
      </c>
      <c r="I3" s="683"/>
      <c r="J3" s="33"/>
      <c r="K3" s="1064" t="s">
        <v>672</v>
      </c>
      <c r="L3" s="1065"/>
      <c r="M3" s="1065"/>
      <c r="N3" s="1066"/>
      <c r="O3" s="1066"/>
      <c r="P3" s="612"/>
      <c r="Q3" s="1166"/>
      <c r="R3" s="1167"/>
      <c r="S3" s="601"/>
      <c r="W3" s="33"/>
      <c r="X3" s="1174" t="s">
        <v>1042</v>
      </c>
      <c r="Y3" s="1174"/>
      <c r="Z3" s="1174"/>
      <c r="AA3" s="1174"/>
      <c r="AB3" s="1011" t="str">
        <f>"DA-"&amp;EQ2</f>
        <v>DA-37.31</v>
      </c>
      <c r="AC3" s="1012"/>
      <c r="AD3" s="1013"/>
      <c r="AE3" s="486"/>
      <c r="AF3" s="33"/>
      <c r="BQ3" t="s">
        <v>584</v>
      </c>
      <c r="BS3" s="276" t="s">
        <v>583</v>
      </c>
      <c r="BW3" t="s">
        <v>585</v>
      </c>
      <c r="BX3" t="s">
        <v>583</v>
      </c>
      <c r="BY3" t="s">
        <v>586</v>
      </c>
      <c r="CH3" s="8">
        <f>CH2+1</f>
        <v>2026</v>
      </c>
      <c r="CI3" s="8">
        <f>CI2+1</f>
        <v>2027</v>
      </c>
      <c r="CN3" s="334" t="s">
        <v>47</v>
      </c>
      <c r="CP3" s="6" t="s">
        <v>23</v>
      </c>
      <c r="CQ3" s="6" t="s">
        <v>24</v>
      </c>
      <c r="CR3" s="221" t="s">
        <v>456</v>
      </c>
      <c r="CS3">
        <f>MATCH(O10,CS4:CS6,0)</f>
        <v>2</v>
      </c>
      <c r="CU3" t="s">
        <v>47</v>
      </c>
      <c r="CV3" t="s">
        <v>47</v>
      </c>
      <c r="CW3" t="s">
        <v>54</v>
      </c>
      <c r="CX3" t="s">
        <v>55</v>
      </c>
      <c r="DG3" s="4"/>
      <c r="DH3" s="4"/>
      <c r="DI3" s="235" t="s">
        <v>458</v>
      </c>
      <c r="DK3" t="s">
        <v>54</v>
      </c>
      <c r="DL3" t="s">
        <v>55</v>
      </c>
      <c r="DM3" t="s">
        <v>599</v>
      </c>
      <c r="DQ3" s="231" t="str">
        <f>IFERROR(IF(AND(O6=$CS$8,NOT(O7="")),O7,""),"")</f>
        <v/>
      </c>
      <c r="DR3" s="230" t="str">
        <f>IFERROR(DR2,"")</f>
        <v/>
      </c>
      <c r="DV3" t="s">
        <v>600</v>
      </c>
      <c r="EA3" t="str">
        <f>EH3</f>
        <v>W.Days</v>
      </c>
      <c r="EE3" t="s">
        <v>766</v>
      </c>
      <c r="EF3" s="18" t="s">
        <v>100</v>
      </c>
      <c r="EG3" s="11" t="s">
        <v>71</v>
      </c>
      <c r="EH3" t="s">
        <v>72</v>
      </c>
      <c r="EJ3" t="s">
        <v>47</v>
      </c>
      <c r="EK3" t="s">
        <v>588</v>
      </c>
      <c r="EL3">
        <v>9</v>
      </c>
      <c r="EM3">
        <v>2025</v>
      </c>
      <c r="EN3" s="397">
        <f>DATE(EM3,EL3,1)</f>
        <v>45901</v>
      </c>
      <c r="EO3" s="396"/>
      <c r="EP3" s="19" t="s">
        <v>70</v>
      </c>
      <c r="EQ3" s="19" t="s">
        <v>74</v>
      </c>
      <c r="EU3" s="8" t="s">
        <v>73</v>
      </c>
      <c r="EV3" s="8" t="s">
        <v>75</v>
      </c>
      <c r="EZ3" s="8" t="s">
        <v>76</v>
      </c>
      <c r="FA3" s="8" t="s">
        <v>77</v>
      </c>
      <c r="FB3" s="315"/>
      <c r="FC3" s="315"/>
      <c r="FD3" s="315"/>
      <c r="FE3" s="8" t="s">
        <v>677</v>
      </c>
      <c r="FF3" s="8" t="s">
        <v>678</v>
      </c>
      <c r="FG3" s="315"/>
      <c r="FH3" s="315"/>
      <c r="FI3" s="315"/>
      <c r="FJ3" s="8" t="s">
        <v>680</v>
      </c>
      <c r="FK3" s="8" t="s">
        <v>679</v>
      </c>
      <c r="FL3" s="315"/>
      <c r="FM3" s="315"/>
      <c r="FN3" s="315"/>
      <c r="FO3" s="315"/>
      <c r="FP3" s="315"/>
      <c r="FQ3" s="315"/>
      <c r="FR3" s="315"/>
      <c r="FS3" s="315"/>
      <c r="FT3" s="315"/>
      <c r="FU3" s="315"/>
      <c r="FV3" s="315"/>
      <c r="FY3" s="712">
        <f>EN1</f>
        <v>45292</v>
      </c>
      <c r="FZ3" s="508">
        <v>33.67</v>
      </c>
      <c r="GA3" s="409">
        <v>0</v>
      </c>
      <c r="GC3" s="4"/>
      <c r="GF3" s="8">
        <v>17.29</v>
      </c>
      <c r="GG3" s="528">
        <v>20.02</v>
      </c>
      <c r="GH3" s="8">
        <f>IF(GG3="",0,GG3-GF3)</f>
        <v>2.7300000000000004</v>
      </c>
      <c r="GI3" s="5">
        <v>44378</v>
      </c>
      <c r="GJ3" s="5">
        <v>44926</v>
      </c>
      <c r="GK3" s="400">
        <v>44562</v>
      </c>
      <c r="GL3" s="527">
        <v>8</v>
      </c>
      <c r="GM3" s="442">
        <v>44958</v>
      </c>
    </row>
    <row r="4" spans="1:195" ht="19.149999999999999" customHeight="1" thickTop="1" x14ac:dyDescent="0.25">
      <c r="A4" s="1089" t="str">
        <f>"If appoint after 1-"&amp;CM17&amp;"-"&amp;CW1&amp;",Date"</f>
        <v>If appoint after 1-Mar-2025,Date</v>
      </c>
      <c r="B4" s="1090"/>
      <c r="C4" s="1090"/>
      <c r="D4" s="1091"/>
      <c r="E4" s="514" t="s">
        <v>47</v>
      </c>
      <c r="F4" s="511"/>
      <c r="G4" s="515"/>
      <c r="H4" s="1092" t="str">
        <f>IFERROR(IF(NOT(I3=""),BF11&amp;"(Age."&amp;BF10&amp;")as on "&amp;TEXT(BF7,"MMM/YY"),""),"")</f>
        <v/>
      </c>
      <c r="I4" s="1092"/>
      <c r="J4" s="33"/>
      <c r="K4" s="1180" t="s">
        <v>747</v>
      </c>
      <c r="L4" s="1181"/>
      <c r="M4" s="752" t="s">
        <v>1130</v>
      </c>
      <c r="N4" s="771" t="s">
        <v>685</v>
      </c>
      <c r="O4" s="766" t="s">
        <v>7</v>
      </c>
      <c r="P4" s="625"/>
      <c r="Q4" s="1166"/>
      <c r="R4" s="1167"/>
      <c r="S4" s="601"/>
      <c r="W4" s="33"/>
      <c r="X4" s="1177" t="s">
        <v>646</v>
      </c>
      <c r="Y4" s="1177"/>
      <c r="Z4" s="1165" t="s">
        <v>117</v>
      </c>
      <c r="AA4" s="483" t="s">
        <v>1041</v>
      </c>
      <c r="AB4" s="1001">
        <f>SUM(AB6:AB55)</f>
        <v>0</v>
      </c>
      <c r="AC4" s="1002">
        <f>SUM(AC6:AC55)</f>
        <v>0</v>
      </c>
      <c r="AD4" s="1002">
        <f>SUM(AD6:AD55)</f>
        <v>0</v>
      </c>
      <c r="AE4" s="486"/>
      <c r="AF4" s="33"/>
      <c r="BF4" t="s">
        <v>775</v>
      </c>
      <c r="BJ4" s="1">
        <v>1</v>
      </c>
      <c r="BK4" s="1" t="str">
        <f t="shared" ref="BK4:BK15" si="0">INDEX($C$51:$O$54,1,BJ4)</f>
        <v>HPL's</v>
      </c>
      <c r="BL4" s="1" t="str">
        <f t="shared" ref="BL4:BL15" si="1">INDEX($C$51:$O$54,2,BJ4)</f>
        <v>01-03-2025</v>
      </c>
      <c r="BM4" s="389">
        <f t="shared" ref="BM4:BM15" si="2">IF(OR(BK4=0,BK4="NA"),0,INDEX($C$51:$O$54,4,BJ4))</f>
        <v>0</v>
      </c>
      <c r="BN4" s="1">
        <f ca="1">SUMIF($BL$4:$BL$15,BL4,$BO$4:$BO4)</f>
        <v>0</v>
      </c>
      <c r="BO4" s="420">
        <f>IF(BK4=$CH$8,-BM4*0.5,-BM4)</f>
        <v>0</v>
      </c>
      <c r="BP4" s="5">
        <f>IFERROR(INDEX($DF$4:$DF$58,MATCH(BL4,$DW$4:$DW$55,0),1),"")</f>
        <v>45717</v>
      </c>
      <c r="BQ4" s="5" t="str">
        <f>IFERROR(IF(OR(BL4="",BL4=0),"",TEXT(EOMONTH(BP4,0),"dd-mm-yyyy")),"")</f>
        <v>31-03-2025</v>
      </c>
      <c r="BS4" s="390" t="str">
        <f>IF(BM4=0,"",IF(BK4=$CH$9,BP4,""))</f>
        <v/>
      </c>
      <c r="BT4" s="5" t="str">
        <f>IFERROR(SMALL($BS$4:$BS$17,CN4),"")</f>
        <v/>
      </c>
      <c r="BU4" s="1">
        <f>IFERROR(IF(COUNTIF($BT$4:BT4,BT4)&gt;1,0,INDEX($BM$4:$BM$17,MATCH(BT4,$BP$4:$BP$17,0),1)),0)</f>
        <v>0</v>
      </c>
      <c r="BW4" s="5">
        <f t="shared" ref="BW4:BW18" si="3">DC23</f>
        <v>45047</v>
      </c>
      <c r="BX4" s="1">
        <f>SUMIFS($BU$4:$BU$15,$BT$4:$BT$15,"=&lt;"&amp;BW4)</f>
        <v>0</v>
      </c>
      <c r="BY4" s="5">
        <f>IFERROR(IF(BW4="","",SUM(BW4+BX4)),"")</f>
        <v>45047</v>
      </c>
      <c r="CH4" t="str">
        <f>CH2&amp;"-"&amp;CH3</f>
        <v>2025-2026</v>
      </c>
      <c r="CI4" t="str">
        <f>CI2&amp;"-"&amp;CI3</f>
        <v>2026-2027</v>
      </c>
      <c r="CN4">
        <v>1</v>
      </c>
      <c r="CP4" s="392">
        <v>20000</v>
      </c>
      <c r="CQ4" s="394" t="s">
        <v>551</v>
      </c>
      <c r="CR4">
        <v>19000</v>
      </c>
      <c r="CS4" t="s">
        <v>48</v>
      </c>
      <c r="CU4" t="s">
        <v>35</v>
      </c>
      <c r="CV4" t="str">
        <f>TEXT(CW4,"mmm-yyyy")</f>
        <v>Mar-2025</v>
      </c>
      <c r="CW4" s="5">
        <f>IFERROR(IF(CM18="",DATE(CW1,CV1,CU1),CM18),DATE(CW1,CV1,CU1))</f>
        <v>45717</v>
      </c>
      <c r="CX4" s="5">
        <f>EOMONTH(CW4,0)</f>
        <v>45747</v>
      </c>
      <c r="CY4" s="4"/>
      <c r="DA4" s="1"/>
      <c r="DB4" s="1" t="s">
        <v>62</v>
      </c>
      <c r="DC4" s="1" t="s">
        <v>63</v>
      </c>
      <c r="DE4" s="1" t="str">
        <f t="shared" ref="DE4:DE48" si="4">IFERROR(MATCH(DF4,$DB$23:$DB$37,0),"")</f>
        <v/>
      </c>
      <c r="DF4" s="4">
        <f t="shared" ref="DF4:DF48" si="5">CW4</f>
        <v>45717</v>
      </c>
      <c r="DG4" t="str">
        <f t="shared" ref="DG4:DG48" si="6">IF(OR($CU$3=$M$6,DE4=""),"","AGI")</f>
        <v/>
      </c>
      <c r="DH4" s="4">
        <f>IFERROR(EOMONTH(DF4,0),"")</f>
        <v>45747</v>
      </c>
      <c r="DI4">
        <f>IFERROR(IF(AND($CS$3=2,DJ4="AGI",INDEX($DJ$4:$DJ$56,MATCH($DR$1,$DJ$4:DJ4,0),1)=$DR$1),2,0),0)</f>
        <v>0</v>
      </c>
      <c r="DJ4" s="1" t="str">
        <f>IFERROR(IF(AND(NOT($DE$51=""),DK4=$DE$51),$DG$51,IF(AND(NOT($DE$53=""),DK4=$DE$53),$DG$53,INDEX($DG$4:$DG$58,MATCH(DK4,$DF$4:$DF$58,0),1))),"")</f>
        <v/>
      </c>
      <c r="DK4" s="5">
        <f>IFERROR(IF(SMALL($DF$4:$DF$58,CN4)&gt;$CJ$2,"",SMALL($DF$4:$DF$58,CN4)),"")</f>
        <v>45717</v>
      </c>
      <c r="DL4" s="222">
        <f>IF(AND(NOT($DE$51=""),DK4=$DE$51),$DH$51,IF(AND(NOT($DE$53=""),DK4=$DE$53),$DH$53,INDEX($DH$4:$DH$58,MATCH(DK4,$DF$4:$DF$58,0),1)))</f>
        <v>45747</v>
      </c>
      <c r="DM4" s="452">
        <f>IFERROR(IF($CV$1=$DM$2,0,IF(DI4&gt;0,DI4,IF(OR(AND($CS$3=2,DJ4="PRO"),OR(DJ4="AGI",LEFT(DJ4,3)="AGI",DJ4="AAS")),1,IF(AND($CS$3=1,DJ4="PRO"),2,0)))),0)</f>
        <v>0</v>
      </c>
      <c r="DN4" s="223">
        <f>IF(DN1=0,$DU$2,IF(DK4&gt;=$DT$2,MAX($DU$2,INDEX($CP$4:$CP$89,MATCH($DU$2,$CP$4:$CP$89,1)-DN1)),INDEX($CP$4:$CP$89,MATCH($DU$2,$CP$4:$CP$89,1)-DN1)))</f>
        <v>72810</v>
      </c>
      <c r="DO4" s="223" t="str">
        <f>IFERROR(INDEX($DQ$3:$DR$3,1,MATCH(DJ4,$DQ$1:$DR$1,0)),"")</f>
        <v/>
      </c>
      <c r="DP4" s="223">
        <f>MAX(DN4:DO4)</f>
        <v>72810</v>
      </c>
      <c r="DQ4" s="224" t="str">
        <f t="shared" ref="DQ4:DQ35" si="7">IFERROR(IF(DO4="","",IF(SUM(MATCH(DP4,$CP$4:$CP$89,0)-MATCH(DP3,$CP$4:$CP$89,0))&lt;=0,"",SUM(MATCH(DP4,$CP$4:$CP$89,0)-MATCH(DP3,$CP$4:$CP$89,0)))),"")</f>
        <v/>
      </c>
      <c r="DS4" s="1">
        <f>IF(DQ4="",DM4,DQ4)</f>
        <v>0</v>
      </c>
      <c r="DT4" s="1">
        <f>IF(DU1=0,$DU$2,IF(DK4&gt;=$DT$2,MAX($DU$2,INDEX($CP$4:$CP$89,MATCH($DU$2,$CP$4:$CP$89,1)-DU1)),INDEX($CP$4:$CP$89,MATCH($DU$2,$CP$4:$CP$89,1)-DU1)))</f>
        <v>72810</v>
      </c>
      <c r="DV4" s="1" t="str">
        <f t="shared" ref="DV4:DV35" si="8">IF($N$13="","",IF(AND(NOT($DF$59=""),MATCH($DG$52,$DJ$4:$DJ$55,0)&gt;0,DK4=$DE$51),"HRA-1",IF(AND(NOT($DG$52=""),DJ4=$DG$52),"HRA-2",IF(AND(NOT($DG$54=""),DJ4=$DG$54),"HRA-3",""))))</f>
        <v/>
      </c>
      <c r="DW4" s="1" t="str">
        <f>IF(DK4="","",TEXT(DK4,"Dd-MM-YYYY"))</f>
        <v>01-03-2025</v>
      </c>
      <c r="DX4" s="1" t="str">
        <f>IF(DL4="","",TEXT(DL4,"Dd-MM-YYYY"))</f>
        <v>31-03-2025</v>
      </c>
      <c r="DY4" s="5">
        <f>IF(DW4="","",DATE(YEAR(DK4),MONTH(DK4),DAY(DK4)))</f>
        <v>45717</v>
      </c>
      <c r="DZ4" s="5">
        <f>IF(DX4="","",DATE(YEAR(DL4),MONTH(DL4),DAY(DL4)))</f>
        <v>45747</v>
      </c>
      <c r="EA4" s="1">
        <f>IFERROR(SUM(DZ4-DY4,0)+1,"")</f>
        <v>31</v>
      </c>
      <c r="EB4" s="404">
        <f ca="1">IFERROR(INDEX($BN$4:$BN$17,MATCH(DW4,$BL$4:$BL$17,0),1),0)</f>
        <v>0</v>
      </c>
      <c r="EC4" s="421">
        <f ca="1">IFERROR(IF(EB4=0,EA4,MAX(IF(EB4=0.5,EA4/2,EA4+EB4),0)),"")</f>
        <v>31</v>
      </c>
      <c r="ED4" t="str">
        <f>IFERROR(INDEX($BK$4:$BK$17,MATCH(DW4,$BL$4:$BL$17,0),1),0)</f>
        <v>HPL's</v>
      </c>
      <c r="EE4" s="18">
        <f>IFERROR(IF(NOT(ED4=$CH$8),0,INDEX($BO$4:$BO$17,MATCH(DW4,$BL$4:$BL$17,0),1)),0)</f>
        <v>0</v>
      </c>
      <c r="EF4" s="1">
        <f ca="1">IFERROR(IF(AND(LEFT(DJ4,3)="S/L",EH4=15),ROUND(DT4*0.5,0),IF(DJ4=$DJ$59,$DL$61,IF(DJ4=$DJ$64,$DL$66,ROUND(SUM(EH4/EG4)*DT4,0)))),"")</f>
        <v>72810</v>
      </c>
      <c r="EG4" s="1">
        <f t="shared" ref="EG4:EG35" si="9">IFERROR(DAY(EOMONTH(DK4,0)),"")</f>
        <v>31</v>
      </c>
      <c r="EH4" s="1">
        <f ca="1">EC4</f>
        <v>31</v>
      </c>
      <c r="EI4" s="88"/>
      <c r="EJ4" t="str">
        <f>IF(DK4="","",TEXT(DK4,"MMM-YYYY"))</f>
        <v>Mar-2025</v>
      </c>
      <c r="EM4" s="396"/>
      <c r="EO4" s="301"/>
      <c r="EP4" s="1">
        <f t="shared" ref="EP4:EP35" si="10">IF($K$40=$EO$57,0,IF(AND(DK4&gt;=EP$1,$DK4&lt;=EQ$1),SUM(ROUND(EF4*$EQ$2%,0)-ROUND(EF4*$EP$2%,0)),0))</f>
        <v>0</v>
      </c>
      <c r="EQ4" s="1">
        <f t="shared" ref="EQ4:EQ35" si="11">IF($K$40=$EO$57,0,IF(AND(DK4&gt;=EP$1,$DK4&lt;=EQ$1),ROUND(EP4*10%,0),0))</f>
        <v>0</v>
      </c>
      <c r="EU4" s="1">
        <f t="shared" ref="EU4:EU35" si="12">IF($AR$44=$EO$57,0,IF(AND(DK4&gt;=$EU$1,$DK4&lt;=$EV$1),SUM(ROUND(EF4*$EV$2%,0)-ROUND(EF4*$EU$2%,0)),0))</f>
        <v>0</v>
      </c>
      <c r="EV4" s="1">
        <f t="shared" ref="EV4:EV35" si="13">IF($AR$44=$EO$57,0,IF(AND(DK4&gt;=$EU$1,$DK4&lt;=$EV$1),ROUND(EU4*10%,0),0))</f>
        <v>0</v>
      </c>
      <c r="EZ4" s="1">
        <f t="shared" ref="EZ4:EZ35" ca="1" si="14">IF(AND(DK4&gt;=$EZ$1,$DK4&lt;=$FA$1),ROUND(EF4*$EY$2%,0),0)</f>
        <v>2650</v>
      </c>
      <c r="FA4" s="1">
        <f t="shared" ref="FA4:FA35" ca="1" si="15">IF(AND(DK4&gt;=$EZ$1,$DK4&lt;=$FA$1),ROUND(EF4*$FA$2%*10%,0)-(ROUND(EF4*$EZ$2%*10%,0)),0)</f>
        <v>266</v>
      </c>
      <c r="FE4" s="8"/>
      <c r="FF4" s="8"/>
      <c r="FJ4" s="8"/>
      <c r="FK4" s="8"/>
      <c r="FY4" s="712">
        <v>45931</v>
      </c>
      <c r="FZ4" s="508">
        <f>EQ2</f>
        <v>37.31</v>
      </c>
      <c r="GA4" s="409">
        <f>FZ4-FZ3</f>
        <v>3.6400000000000006</v>
      </c>
      <c r="GC4" s="4"/>
      <c r="GF4" s="8">
        <v>20.02</v>
      </c>
      <c r="GG4" s="528">
        <v>22.75</v>
      </c>
      <c r="GH4" s="8">
        <f t="shared" ref="GH4:GH10" si="16">IF(GG4="",0,GG4-GF4)</f>
        <v>2.7300000000000004</v>
      </c>
      <c r="GI4" s="5">
        <v>44562</v>
      </c>
      <c r="GJ4" s="5">
        <v>45077</v>
      </c>
      <c r="GK4" s="400">
        <v>45078</v>
      </c>
      <c r="GL4" s="527">
        <v>0</v>
      </c>
      <c r="GM4" s="8"/>
    </row>
    <row r="5" spans="1:195" ht="22.15" customHeight="1" x14ac:dyDescent="0.25">
      <c r="A5" s="1059" t="s">
        <v>705</v>
      </c>
      <c r="B5" s="1082" t="s">
        <v>702</v>
      </c>
      <c r="C5" s="1082"/>
      <c r="D5" s="983" t="s">
        <v>326</v>
      </c>
      <c r="E5" s="1017" t="s">
        <v>1129</v>
      </c>
      <c r="F5" s="1017"/>
      <c r="G5" s="1017"/>
      <c r="H5" s="1017"/>
      <c r="I5" s="1017"/>
      <c r="J5" s="33"/>
      <c r="K5" s="1085" t="str">
        <f>"Basic Pay as on "&amp;M4</f>
        <v>Basic Pay as on Jan-2026</v>
      </c>
      <c r="L5" s="1086"/>
      <c r="M5" s="753">
        <v>74770</v>
      </c>
      <c r="N5" s="759" t="s">
        <v>667</v>
      </c>
      <c r="O5" s="767" t="s">
        <v>1100</v>
      </c>
      <c r="P5" s="625"/>
      <c r="Q5" s="1166"/>
      <c r="R5" s="1167"/>
      <c r="S5" s="601"/>
      <c r="W5" s="33"/>
      <c r="X5" s="482" t="s">
        <v>80</v>
      </c>
      <c r="Y5" s="482" t="s">
        <v>111</v>
      </c>
      <c r="Z5" s="1165"/>
      <c r="AA5" s="483" t="s">
        <v>645</v>
      </c>
      <c r="AB5" s="482" t="str">
        <f>"Diff-"&amp;ER2</f>
        <v>Diff-3.64</v>
      </c>
      <c r="AC5" s="482" t="s">
        <v>759</v>
      </c>
      <c r="AD5" s="482" t="s">
        <v>1018</v>
      </c>
      <c r="AE5" s="487"/>
      <c r="AF5" s="33"/>
      <c r="AK5" t="s">
        <v>1110</v>
      </c>
      <c r="BF5" t="s">
        <v>776</v>
      </c>
      <c r="BJ5" s="1">
        <v>2</v>
      </c>
      <c r="BK5" s="1">
        <f t="shared" si="0"/>
        <v>0</v>
      </c>
      <c r="BL5" s="1">
        <f t="shared" si="1"/>
        <v>0</v>
      </c>
      <c r="BM5" s="389">
        <f t="shared" si="2"/>
        <v>0</v>
      </c>
      <c r="BN5" s="1">
        <f ca="1">SUMIF($BL$4:$BL$15,BL5,$BO$4:$BO5)</f>
        <v>0</v>
      </c>
      <c r="BO5" s="420">
        <f t="shared" ref="BO5:BO15" si="17">IF(BK5=$CH$8,-BM5*0.5,-BM5)</f>
        <v>0</v>
      </c>
      <c r="BP5" s="5" t="str">
        <f>IFERROR(INDEX($DF$4:$DF$58,MATCH(BL5,$DW$4:$DW$55,0),1),"")</f>
        <v/>
      </c>
      <c r="BQ5" s="5" t="str">
        <f t="shared" ref="BQ5:BQ15" si="18">IFERROR(IF(OR(BL5="",BL5=0),"",TEXT(EOMONTH(BP5,0),"dd-mm-yyyy")),"")</f>
        <v/>
      </c>
      <c r="BS5" s="390" t="str">
        <f t="shared" ref="BS5:BS15" si="19">IF(BM5=0,"",IF(BK5=$CH$9,BP5,""))</f>
        <v/>
      </c>
      <c r="BT5" s="5" t="str">
        <f t="shared" ref="BT5:BT15" si="20">IFERROR(SMALL($BS$4:$BS$17,CN5),"")</f>
        <v/>
      </c>
      <c r="BU5" s="1">
        <f>IFERROR(IF(COUNTIF($BT$4:BT5,BT5)&gt;1,0,INDEX($BM$4:$BM$17,MATCH(BT5,$BP$4:$BP$17,0),1)),0)</f>
        <v>0</v>
      </c>
      <c r="BW5" s="5">
        <f t="shared" si="3"/>
        <v>45413</v>
      </c>
      <c r="BX5" s="1">
        <f>SUMIFS($BU$4:$BU$15,$BT$4:$BT$15,"&gt;="&amp;BY4,$BT$4:$BT$15,"&lt;="&amp;EDATE(BY4,12))</f>
        <v>0</v>
      </c>
      <c r="BY5" s="5">
        <f>IFERROR(IF(BW5="","",EDATE(BY4,12)+BX5),"")</f>
        <v>45413</v>
      </c>
      <c r="BZ5" s="4"/>
      <c r="CH5" t="str">
        <f>TEXT(DATE(CH2,3,1),"DD.MM.YYYY")</f>
        <v>01.03.2025</v>
      </c>
      <c r="CN5">
        <v>2</v>
      </c>
      <c r="CP5" s="392">
        <v>20600</v>
      </c>
      <c r="CQ5" s="394" t="s">
        <v>552</v>
      </c>
      <c r="CR5">
        <v>19640</v>
      </c>
      <c r="CS5" t="s">
        <v>49</v>
      </c>
      <c r="CU5" t="s">
        <v>36</v>
      </c>
      <c r="CV5" t="str">
        <f t="shared" ref="CV5:CV47" si="21">TEXT(CW5,"mmm-yyyy")</f>
        <v>Apr-2025</v>
      </c>
      <c r="CW5" s="5">
        <f>IFERROR(EDATE(CW4,1)-DAY(EDATE(CW4,1))+1,"")</f>
        <v>45748</v>
      </c>
      <c r="CX5" s="5">
        <f t="shared" ref="CX5:CX47" si="22">EOMONTH(CW5,0)</f>
        <v>45777</v>
      </c>
      <c r="CY5" s="4"/>
      <c r="DA5" s="14"/>
      <c r="DB5" s="8">
        <f>IF(O6=$CS$8,1,2)</f>
        <v>2</v>
      </c>
      <c r="DC5" s="8">
        <f>IF(CS9=O8,1,IF(OR(CS3=1,CS3=3),2,1))</f>
        <v>1</v>
      </c>
      <c r="DD5" s="315"/>
      <c r="DE5" s="1" t="str">
        <f t="shared" si="4"/>
        <v/>
      </c>
      <c r="DF5" s="4">
        <f t="shared" si="5"/>
        <v>45748</v>
      </c>
      <c r="DG5" t="str">
        <f t="shared" si="6"/>
        <v/>
      </c>
      <c r="DH5" s="4">
        <f t="shared" ref="DH5:DH50" si="23">IFERROR(EOMONTH(DF5,0),"")</f>
        <v>45777</v>
      </c>
      <c r="DI5">
        <f>IFERROR(IF(AND($CS$3=2,DJ5="AGI",INDEX($DJ$4:$DJ$56,MATCH($DR$1,$DJ$4:DJ5,0),1)=$DR$1),2,0),0)</f>
        <v>0</v>
      </c>
      <c r="DJ5" s="1" t="str">
        <f t="shared" ref="DJ5:DJ56" si="24">IFERROR(IF(AND(NOT($DE$51=""),DK5=$DE$51),$DG$51,IF(AND(NOT($DE$53=""),DK5=$DE$53),$DG$53,INDEX($DG$4:$DG$58,MATCH(DK5,$DF$4:$DF$58,0),1))),"")</f>
        <v/>
      </c>
      <c r="DK5" s="5">
        <f t="shared" ref="DK5:DK55" si="25">IFERROR(IF(SMALL($DF$4:$DF$58,CN5)&gt;$CJ$2,"",SMALL($DF$4:$DF$58,CN5)),"")</f>
        <v>45748</v>
      </c>
      <c r="DL5" s="222">
        <f t="shared" ref="DL5:DL56" si="26">IF(AND(NOT($DE$51=""),DK5=$DE$51),$DH$51,IF(AND(NOT($DE$53=""),DK5=$DE$53),$DH$53,INDEX($DH$4:$DH$58,MATCH(DK5,$DF$4:$DF$58,0),1)))</f>
        <v>45777</v>
      </c>
      <c r="DM5" s="225">
        <f>IF(DI5&gt;0,DI5,IF(OR(AND($CS$3=2,DJ5="PRO"),OR(DJ5="AGI",LEFT(DJ5,3)="AGI",DJ5="AAS")),1,IF(AND($CS$3=1,DJ5="PRO"),2,0)))</f>
        <v>0</v>
      </c>
      <c r="DN5" s="11">
        <f t="shared" ref="DN5:DN36" si="27">IF(DN4=$CP$2,$CP$2,IF(DK5&gt;=$DT$2,MAX($DU$2,INDEX($CP$4:$CP$89,MATCH(DN4,$CP$4:$CP$89,1)+DM5)),INDEX($CP$4:$CP$89,MATCH(DN4,$CP$4:$CP$89,1)+DM5)))</f>
        <v>72810</v>
      </c>
      <c r="DO5" s="11" t="str">
        <f t="shared" ref="DO5:DO35" si="28">IFERROR(INDEX($DQ$3:$DR$3,1,MATCH(DJ5,$DQ$1:$DR$1,0)),"")</f>
        <v/>
      </c>
      <c r="DP5" s="233">
        <f>MAX(DP4,DN5:DO5)</f>
        <v>72810</v>
      </c>
      <c r="DQ5" s="229" t="str">
        <f t="shared" si="7"/>
        <v/>
      </c>
      <c r="DS5" s="1">
        <f t="shared" ref="DS5:DS55" si="29">IF(DQ5="",DM5,DQ5)</f>
        <v>0</v>
      </c>
      <c r="DT5" s="1">
        <f t="shared" ref="DT5:DT36" si="30">IF(DN4=$CP$2,$CP$2,IF(DK5&gt;=$DT$2,MAX($DU$2,INDEX($CP$4:$CP$89,MATCH(DT4,$CP$4:$CP$89,1)+DS5)),INDEX($CP$4:$CP$89,MATCH(DT4,$CP$4:$CP$89,1)+DS5)))</f>
        <v>72810</v>
      </c>
      <c r="DV5" s="1" t="str">
        <f t="shared" si="8"/>
        <v/>
      </c>
      <c r="DW5" s="1" t="str">
        <f t="shared" ref="DW5:DW55" si="31">IF(DK5="","",TEXT(DK5,"Dd-MM-YYYY"))</f>
        <v>01-04-2025</v>
      </c>
      <c r="DX5" s="1" t="str">
        <f t="shared" ref="DX5:DX55" si="32">IF(DL5="","",TEXT(DL5,"Dd-MM-YYYY"))</f>
        <v>30-04-2025</v>
      </c>
      <c r="DY5" s="5">
        <f>IF(DW5="","",DATE(YEAR(DK5),MONTH(DK5),DAY(DK5)))</f>
        <v>45748</v>
      </c>
      <c r="DZ5" s="5">
        <f t="shared" ref="DZ5:DZ55" si="33">IF(DX5="","",DATE(YEAR(DL5),MONTH(DL5),DAY(DL5)))</f>
        <v>45777</v>
      </c>
      <c r="EA5" s="1">
        <f t="shared" ref="EA5:EA55" si="34">IFERROR(SUM(DZ5-DY5,0)+1,"")</f>
        <v>30</v>
      </c>
      <c r="EB5" s="404">
        <f>IFERROR(INDEX($BN$4:$BN$17,MATCH(DW5,$BL$4:$BL$17,0),1),0)</f>
        <v>0</v>
      </c>
      <c r="EC5" s="421">
        <f t="shared" ref="EC5:EC55" si="35">IFERROR(IF(EB5=0,EA5,MAX(IF(EB5=0.5,EA5/2,EA5+EB5),0)),"")</f>
        <v>30</v>
      </c>
      <c r="ED5">
        <f t="shared" ref="ED5:ED55" si="36">IFERROR(INDEX($BK$4:$BK$17,MATCH(DW5,$BL$4:$BL$17,0),1),0)</f>
        <v>0</v>
      </c>
      <c r="EE5" s="18">
        <f t="shared" ref="EE5:EE55" si="37">IFERROR(IF(NOT(ED5=$CH$8),0,INDEX($BO$4:$BO$17,MATCH(DW5,$BL$4:$BL$17,0),1)),0)</f>
        <v>0</v>
      </c>
      <c r="EF5" s="1">
        <f>IFERROR(IF(AND(LEFT(DJ5,3)="S/L",EH5=15),ROUND(DT5*0.5,0),IF(DJ5=$DJ$59,$DL$61,IF(DJ5=$DJ$64,$DL$66,ROUND(SUM(EH5/EG5)*DT5,0)))),"")</f>
        <v>72810</v>
      </c>
      <c r="EG5" s="1">
        <f t="shared" si="9"/>
        <v>30</v>
      </c>
      <c r="EH5" s="1">
        <f t="shared" ref="EH5:EH55" si="38">EC5</f>
        <v>30</v>
      </c>
      <c r="EI5" s="88"/>
      <c r="EJ5" t="str">
        <f t="shared" ref="EJ5:EJ55" si="39">IF(DK5="","",TEXT(DK5,"MMM-YYYY"))</f>
        <v>Apr-2025</v>
      </c>
      <c r="EM5" s="396"/>
      <c r="EO5" s="301"/>
      <c r="EP5" s="1">
        <f t="shared" si="10"/>
        <v>0</v>
      </c>
      <c r="EQ5" s="1">
        <f t="shared" si="11"/>
        <v>0</v>
      </c>
      <c r="EU5" s="1">
        <f t="shared" si="12"/>
        <v>0</v>
      </c>
      <c r="EV5" s="1">
        <f t="shared" si="13"/>
        <v>0</v>
      </c>
      <c r="EZ5" s="1">
        <f t="shared" si="14"/>
        <v>2650</v>
      </c>
      <c r="FA5" s="1">
        <f t="shared" si="15"/>
        <v>266</v>
      </c>
      <c r="FE5" s="8"/>
      <c r="FF5" s="8"/>
      <c r="FJ5" s="8"/>
      <c r="FK5" s="8"/>
      <c r="FY5" s="712"/>
      <c r="FZ5" s="508">
        <f>IF($AR$44="N.A",FZ4,EV2)</f>
        <v>37.31</v>
      </c>
      <c r="GA5" s="508">
        <f>FZ5-FZ4</f>
        <v>0</v>
      </c>
      <c r="GF5" s="8">
        <v>22.75</v>
      </c>
      <c r="GG5" s="528">
        <v>26.39</v>
      </c>
      <c r="GH5" s="8">
        <f t="shared" si="16"/>
        <v>3.6400000000000006</v>
      </c>
      <c r="GI5" s="5">
        <v>44743</v>
      </c>
      <c r="GJ5" s="5">
        <v>45596</v>
      </c>
      <c r="GK5" s="400">
        <v>45597</v>
      </c>
      <c r="GL5" s="527">
        <v>17</v>
      </c>
      <c r="GM5" s="400">
        <v>45292</v>
      </c>
    </row>
    <row r="6" spans="1:195" ht="22.15" customHeight="1" x14ac:dyDescent="0.25">
      <c r="A6" s="1059"/>
      <c r="B6" s="1023" t="s">
        <v>703</v>
      </c>
      <c r="C6" s="1024"/>
      <c r="D6" s="1025"/>
      <c r="E6" s="1195" t="s">
        <v>767</v>
      </c>
      <c r="F6" s="1195"/>
      <c r="G6" s="1195"/>
      <c r="H6" s="1195"/>
      <c r="I6" s="1196"/>
      <c r="J6" s="33"/>
      <c r="K6" s="1193" t="s">
        <v>633</v>
      </c>
      <c r="L6" s="1194"/>
      <c r="M6" s="754" t="s">
        <v>39</v>
      </c>
      <c r="N6" s="760" t="s">
        <v>741</v>
      </c>
      <c r="O6" s="772" t="s">
        <v>7</v>
      </c>
      <c r="P6" s="625"/>
      <c r="Q6" s="1166"/>
      <c r="R6" s="1167"/>
      <c r="S6" s="601"/>
      <c r="W6" s="33"/>
      <c r="X6" s="484">
        <f>DK4</f>
        <v>45717</v>
      </c>
      <c r="Y6" s="484">
        <f>DL4</f>
        <v>45747</v>
      </c>
      <c r="Z6" s="485" t="str">
        <f>DJ4</f>
        <v/>
      </c>
      <c r="AA6" s="485">
        <f ca="1">EF4</f>
        <v>72810</v>
      </c>
      <c r="AB6" s="546">
        <f>EP4</f>
        <v>0</v>
      </c>
      <c r="AC6" s="546">
        <f>EQ4</f>
        <v>0</v>
      </c>
      <c r="AD6" s="424">
        <f>AB6-AC6</f>
        <v>0</v>
      </c>
      <c r="AE6" s="547"/>
      <c r="AF6" s="33"/>
      <c r="BJ6" s="1">
        <v>3</v>
      </c>
      <c r="BK6" s="1">
        <f t="shared" si="0"/>
        <v>0</v>
      </c>
      <c r="BL6" s="1">
        <f t="shared" si="1"/>
        <v>0</v>
      </c>
      <c r="BM6" s="389">
        <f t="shared" si="2"/>
        <v>0</v>
      </c>
      <c r="BN6" s="1">
        <f ca="1">SUMIF($BL$4:$BL$15,BL6,$BO$4:$BO6)</f>
        <v>0</v>
      </c>
      <c r="BO6" s="420">
        <f t="shared" si="17"/>
        <v>0</v>
      </c>
      <c r="BP6" s="5" t="str">
        <f t="shared" ref="BP6:BP15" si="40">IFERROR(INDEX($DF$4:$DF$58,MATCH(BL6,$DW$4:$DW$55,0),1),"")</f>
        <v/>
      </c>
      <c r="BQ6" s="5" t="str">
        <f t="shared" si="18"/>
        <v/>
      </c>
      <c r="BS6" s="390" t="str">
        <f t="shared" si="19"/>
        <v/>
      </c>
      <c r="BT6" s="5" t="str">
        <f t="shared" si="20"/>
        <v/>
      </c>
      <c r="BU6" s="1">
        <f>IFERROR(IF(COUNTIF($BT$4:BT6,BT6)&gt;1,0,INDEX($BM$4:$BM$17,MATCH(BT6,$BP$4:$BP$17,0),1)),0)</f>
        <v>0</v>
      </c>
      <c r="BW6" s="5">
        <f t="shared" si="3"/>
        <v>45778</v>
      </c>
      <c r="BX6" s="1">
        <f t="shared" ref="BX6:BX18" si="41">SUMIFS($BU$4:$BU$15,$BT$4:$BT$15,"&gt;="&amp;BY5,$BT$4:$BT$15,"&lt;="&amp;EDATE(BY5,12))</f>
        <v>0</v>
      </c>
      <c r="BY6" s="5">
        <f t="shared" ref="BY6:BY17" si="42">IFERROR(IF(BW6="","",EDATE(BY5,12)+BX6),"")</f>
        <v>45778</v>
      </c>
      <c r="CK6" t="s">
        <v>47</v>
      </c>
      <c r="CL6" t="s">
        <v>47</v>
      </c>
      <c r="CN6">
        <v>3</v>
      </c>
      <c r="CP6" s="392">
        <v>21200</v>
      </c>
      <c r="CQ6" s="394" t="s">
        <v>553</v>
      </c>
      <c r="CR6">
        <v>20280</v>
      </c>
      <c r="CS6" t="s">
        <v>50</v>
      </c>
      <c r="CU6" t="s">
        <v>37</v>
      </c>
      <c r="CV6" t="str">
        <f t="shared" si="21"/>
        <v>May-2025</v>
      </c>
      <c r="CW6" s="5">
        <f t="shared" ref="CW6:CW48" si="43">EDATE(CW5,1)</f>
        <v>45778</v>
      </c>
      <c r="CX6" s="5">
        <f t="shared" si="22"/>
        <v>45808</v>
      </c>
      <c r="CY6" s="4"/>
      <c r="DA6" s="14" t="s">
        <v>61</v>
      </c>
      <c r="DB6" s="1" t="s">
        <v>29</v>
      </c>
      <c r="DC6" s="8" t="s">
        <v>30</v>
      </c>
      <c r="DD6" s="315"/>
      <c r="DE6" s="1">
        <f t="shared" si="4"/>
        <v>3</v>
      </c>
      <c r="DF6" s="4">
        <f t="shared" si="5"/>
        <v>45778</v>
      </c>
      <c r="DG6" t="str">
        <f t="shared" si="6"/>
        <v>AGI</v>
      </c>
      <c r="DH6" s="4">
        <f t="shared" si="23"/>
        <v>45808</v>
      </c>
      <c r="DI6">
        <f>IFERROR(IF(AND($CS$3=2,DJ6="AGI",INDEX($DJ$4:$DJ$56,MATCH($DR$1,$DJ$4:DJ6,0),1)=$DR$1),2,0),0)</f>
        <v>0</v>
      </c>
      <c r="DJ6" s="1" t="str">
        <f>IFERROR(IF(AND(NOT($DE$51=""),DK6=$DE$51),$DG$51,IF(AND(NOT($DE$53=""),DK6=$DE$53),$DG$53,INDEX($DG$4:$DG$58,MATCH(DK6,$DF$4:$DF$58,0),1))),"")</f>
        <v>AGI</v>
      </c>
      <c r="DK6" s="5">
        <f t="shared" si="25"/>
        <v>45778</v>
      </c>
      <c r="DL6" s="222">
        <f t="shared" si="26"/>
        <v>45808</v>
      </c>
      <c r="DM6" s="225">
        <f t="shared" ref="DM6:DM55" si="44">IF(DI6&gt;0,DI6,IF(OR(AND($CS$3=2,DJ6="PRO"),OR(DJ6="AGI",LEFT(DJ6,3)="AGI",DJ6="AAS")),1,IF(AND($CS$3=1,DJ6="PRO"),2,0)))</f>
        <v>1</v>
      </c>
      <c r="DN6" s="11">
        <f t="shared" si="27"/>
        <v>74770</v>
      </c>
      <c r="DO6" s="11" t="str">
        <f t="shared" si="28"/>
        <v/>
      </c>
      <c r="DP6" s="233">
        <f t="shared" ref="DP6:DP55" si="45">MAX(DP5,DN6:DO6)</f>
        <v>74770</v>
      </c>
      <c r="DQ6" s="229" t="str">
        <f t="shared" si="7"/>
        <v/>
      </c>
      <c r="DS6" s="1">
        <f t="shared" si="29"/>
        <v>1</v>
      </c>
      <c r="DT6" s="1">
        <f t="shared" si="30"/>
        <v>74770</v>
      </c>
      <c r="DV6" s="1" t="str">
        <f t="shared" si="8"/>
        <v/>
      </c>
      <c r="DW6" s="1" t="str">
        <f t="shared" si="31"/>
        <v>01-05-2025</v>
      </c>
      <c r="DX6" s="1" t="str">
        <f t="shared" si="32"/>
        <v>31-05-2025</v>
      </c>
      <c r="DY6" s="5">
        <f t="shared" ref="DY6:DY55" si="46">IF(DW6="","",DATE(YEAR(DK6),MONTH(DK6),DAY(DK6)))</f>
        <v>45778</v>
      </c>
      <c r="DZ6" s="5">
        <f t="shared" si="33"/>
        <v>45808</v>
      </c>
      <c r="EA6" s="1">
        <f t="shared" si="34"/>
        <v>31</v>
      </c>
      <c r="EB6" s="404">
        <f t="shared" ref="EB6:EB55" si="47">IFERROR(INDEX($BN$4:$BN$17,MATCH(DW6,$BL$4:$BL$17,0),1),0)</f>
        <v>0</v>
      </c>
      <c r="EC6" s="421">
        <f t="shared" si="35"/>
        <v>31</v>
      </c>
      <c r="ED6">
        <f t="shared" si="36"/>
        <v>0</v>
      </c>
      <c r="EE6" s="18">
        <f t="shared" si="37"/>
        <v>0</v>
      </c>
      <c r="EF6" s="1">
        <f t="shared" ref="EF6:EF35" si="48">IFERROR(IF(AND(LEFT(DJ6,3)="S/L",EH6=15),ROUND(DT6*0.5,0),IF(DJ6=$DJ$59,$DL$61,IF(DJ6=$DJ$64,$DL$66,ROUND(SUM(EH6/EG6)*DT6,0)))),"")</f>
        <v>74770</v>
      </c>
      <c r="EG6" s="1">
        <f t="shared" si="9"/>
        <v>31</v>
      </c>
      <c r="EH6" s="1">
        <f t="shared" si="38"/>
        <v>31</v>
      </c>
      <c r="EI6" s="88"/>
      <c r="EJ6" t="str">
        <f t="shared" si="39"/>
        <v>May-2025</v>
      </c>
      <c r="EM6" s="396"/>
      <c r="EO6" s="301"/>
      <c r="EP6" s="1">
        <f t="shared" si="10"/>
        <v>0</v>
      </c>
      <c r="EQ6" s="1">
        <f t="shared" si="11"/>
        <v>0</v>
      </c>
      <c r="EU6" s="1">
        <f t="shared" si="12"/>
        <v>0</v>
      </c>
      <c r="EV6" s="1">
        <f t="shared" si="13"/>
        <v>0</v>
      </c>
      <c r="EZ6" s="1">
        <f t="shared" si="14"/>
        <v>2722</v>
      </c>
      <c r="FA6" s="1">
        <f t="shared" si="15"/>
        <v>273</v>
      </c>
      <c r="FE6" s="8"/>
      <c r="FF6" s="8"/>
      <c r="FJ6" s="8"/>
      <c r="FK6" s="8"/>
      <c r="FY6" s="5"/>
      <c r="FZ6" s="1"/>
      <c r="GA6" s="1"/>
      <c r="GF6" s="8">
        <f>GG5</f>
        <v>26.39</v>
      </c>
      <c r="GG6" s="528">
        <v>30.03</v>
      </c>
      <c r="GH6" s="8">
        <f t="shared" si="16"/>
        <v>3.6400000000000006</v>
      </c>
      <c r="GI6" s="5">
        <v>44927</v>
      </c>
      <c r="GJ6" s="5">
        <v>45808</v>
      </c>
      <c r="GK6" s="400">
        <v>45809</v>
      </c>
      <c r="GL6" s="527">
        <v>28</v>
      </c>
      <c r="GM6" s="400">
        <v>45839</v>
      </c>
    </row>
    <row r="7" spans="1:195" ht="22.15" customHeight="1" thickBot="1" x14ac:dyDescent="0.3">
      <c r="A7" s="1059"/>
      <c r="B7" s="1023" t="s">
        <v>701</v>
      </c>
      <c r="C7" s="1024"/>
      <c r="D7" s="1025"/>
      <c r="E7" s="1195" t="s">
        <v>1048</v>
      </c>
      <c r="F7" s="1195"/>
      <c r="G7" s="1195"/>
      <c r="H7" s="1195"/>
      <c r="I7" s="1196"/>
      <c r="J7" s="33"/>
      <c r="K7" s="1093" t="s">
        <v>744</v>
      </c>
      <c r="L7" s="1094"/>
      <c r="M7" s="755" t="s">
        <v>16</v>
      </c>
      <c r="N7" s="773" t="s">
        <v>673</v>
      </c>
      <c r="O7" s="774">
        <v>87510</v>
      </c>
      <c r="P7" s="625"/>
      <c r="Q7" s="1166"/>
      <c r="R7" s="1167"/>
      <c r="S7" s="601"/>
      <c r="W7" s="33"/>
      <c r="X7" s="484">
        <f t="shared" ref="X7:Y7" si="49">DK5</f>
        <v>45748</v>
      </c>
      <c r="Y7" s="484">
        <f t="shared" si="49"/>
        <v>45777</v>
      </c>
      <c r="Z7" s="485" t="str">
        <f t="shared" ref="Z7:Z16" si="50">DJ5</f>
        <v/>
      </c>
      <c r="AA7" s="485">
        <f t="shared" ref="AA7:AA16" si="51">EF5</f>
        <v>72810</v>
      </c>
      <c r="AB7" s="546">
        <f t="shared" ref="AB7:AC7" si="52">EP5</f>
        <v>0</v>
      </c>
      <c r="AC7" s="546">
        <f t="shared" si="52"/>
        <v>0</v>
      </c>
      <c r="AD7" s="424">
        <f t="shared" ref="AD7:AD55" si="53">AB7-AC7</f>
        <v>0</v>
      </c>
      <c r="AE7" s="547"/>
      <c r="AF7" s="33"/>
      <c r="BE7" s="4"/>
      <c r="BF7" s="4">
        <f>EOMONTH(DATE(CH3,3,1),0)</f>
        <v>46112</v>
      </c>
      <c r="BJ7" s="1">
        <v>4</v>
      </c>
      <c r="BK7" s="1">
        <f t="shared" si="0"/>
        <v>0</v>
      </c>
      <c r="BL7" s="1">
        <f t="shared" si="1"/>
        <v>0</v>
      </c>
      <c r="BM7" s="389">
        <f t="shared" si="2"/>
        <v>0</v>
      </c>
      <c r="BN7" s="1">
        <f ca="1">SUMIF($BL$4:$BL$15,BL7,$BO$4:$BO7)</f>
        <v>0</v>
      </c>
      <c r="BO7" s="420">
        <f t="shared" si="17"/>
        <v>0</v>
      </c>
      <c r="BP7" s="5" t="str">
        <f t="shared" si="40"/>
        <v/>
      </c>
      <c r="BQ7" s="5" t="str">
        <f t="shared" si="18"/>
        <v/>
      </c>
      <c r="BS7" s="390" t="str">
        <f t="shared" si="19"/>
        <v/>
      </c>
      <c r="BT7" s="5" t="str">
        <f t="shared" si="20"/>
        <v/>
      </c>
      <c r="BU7" s="1">
        <f>IFERROR(IF(COUNTIF($BT$4:BT7,BT7)&gt;1,0,INDEX($BM$4:$BM$17,MATCH(BT7,$BP$4:$BP$17,0),1)),0)</f>
        <v>0</v>
      </c>
      <c r="BW7" s="5">
        <f t="shared" si="3"/>
        <v>46143</v>
      </c>
      <c r="BX7" s="1">
        <f t="shared" si="41"/>
        <v>0</v>
      </c>
      <c r="BY7" s="5">
        <f t="shared" si="42"/>
        <v>46143</v>
      </c>
      <c r="CD7" s="1">
        <f>Table!BD1</f>
        <v>100</v>
      </c>
      <c r="CE7" s="5" t="str">
        <f>Table!BE1</f>
        <v/>
      </c>
      <c r="CF7" s="5" t="e">
        <f>DATE(YEAR(CE7),MONTH(CE7),1)</f>
        <v>#VALUE!</v>
      </c>
      <c r="CH7" t="s">
        <v>47</v>
      </c>
      <c r="CK7" t="s">
        <v>620</v>
      </c>
      <c r="CL7" t="s">
        <v>634</v>
      </c>
      <c r="CN7">
        <v>4</v>
      </c>
      <c r="CP7" s="392">
        <v>21800</v>
      </c>
      <c r="CQ7" s="394" t="s">
        <v>554</v>
      </c>
      <c r="CR7">
        <v>21580</v>
      </c>
      <c r="CU7" t="s">
        <v>38</v>
      </c>
      <c r="CV7" t="str">
        <f t="shared" si="21"/>
        <v>Jun-2025</v>
      </c>
      <c r="CW7" s="5">
        <f t="shared" si="43"/>
        <v>45809</v>
      </c>
      <c r="CX7" s="5">
        <f t="shared" si="22"/>
        <v>45838</v>
      </c>
      <c r="CY7" s="4"/>
      <c r="DA7" s="15">
        <f>CW53</f>
        <v>45047</v>
      </c>
      <c r="DB7" s="388" t="str">
        <f>IF(CW49="","",EDATE(CW49,12)-DAY(EDATE(CW49,12))+1)</f>
        <v/>
      </c>
      <c r="DC7" s="387" t="str">
        <f>IF(CW50="","",EDATE(CW50,12)-DAY(EDATE(CW50,12))+1)</f>
        <v/>
      </c>
      <c r="DD7" s="391"/>
      <c r="DE7" s="1" t="str">
        <f t="shared" si="4"/>
        <v/>
      </c>
      <c r="DF7" s="4">
        <f t="shared" si="5"/>
        <v>45809</v>
      </c>
      <c r="DG7" t="str">
        <f t="shared" si="6"/>
        <v/>
      </c>
      <c r="DH7" s="4">
        <f t="shared" si="23"/>
        <v>45838</v>
      </c>
      <c r="DI7">
        <f>IFERROR(IF(AND($CS$3=2,DJ7="AGI",INDEX($DJ$4:$DJ$56,MATCH($DR$1,$DJ$4:DJ7,0),1)=$DR$1),2,0),0)</f>
        <v>0</v>
      </c>
      <c r="DJ7" s="1" t="str">
        <f t="shared" si="24"/>
        <v/>
      </c>
      <c r="DK7" s="5">
        <f t="shared" si="25"/>
        <v>45809</v>
      </c>
      <c r="DL7" s="222">
        <f>IF(AND(NOT($DE$51=""),DK7=$DE$51),$DH$51,IF(AND(NOT($DE$53=""),DK7=$DE$53),$DH$53,INDEX($DH$4:$DH$58,MATCH(DK7,$DF$4:$DF$58,0),1)))</f>
        <v>45838</v>
      </c>
      <c r="DM7" s="225">
        <f t="shared" si="44"/>
        <v>0</v>
      </c>
      <c r="DN7" s="11">
        <f t="shared" si="27"/>
        <v>74770</v>
      </c>
      <c r="DO7" s="11" t="str">
        <f t="shared" si="28"/>
        <v/>
      </c>
      <c r="DP7" s="233">
        <f t="shared" si="45"/>
        <v>74770</v>
      </c>
      <c r="DQ7" s="229" t="str">
        <f t="shared" si="7"/>
        <v/>
      </c>
      <c r="DS7" s="1">
        <f t="shared" si="29"/>
        <v>0</v>
      </c>
      <c r="DT7" s="1">
        <f t="shared" si="30"/>
        <v>74770</v>
      </c>
      <c r="DV7" s="1" t="str">
        <f t="shared" si="8"/>
        <v/>
      </c>
      <c r="DW7" s="1" t="str">
        <f t="shared" si="31"/>
        <v>01-06-2025</v>
      </c>
      <c r="DX7" s="1" t="str">
        <f t="shared" si="32"/>
        <v>30-06-2025</v>
      </c>
      <c r="DY7" s="5">
        <f t="shared" si="46"/>
        <v>45809</v>
      </c>
      <c r="DZ7" s="5">
        <f t="shared" si="33"/>
        <v>45838</v>
      </c>
      <c r="EA7" s="1">
        <f>IFERROR(SUM(DZ7-DY7,0)+1,"")</f>
        <v>30</v>
      </c>
      <c r="EB7" s="404">
        <f t="shared" si="47"/>
        <v>0</v>
      </c>
      <c r="EC7" s="421">
        <f t="shared" si="35"/>
        <v>30</v>
      </c>
      <c r="ED7">
        <f t="shared" si="36"/>
        <v>0</v>
      </c>
      <c r="EE7" s="18">
        <f t="shared" si="37"/>
        <v>0</v>
      </c>
      <c r="EF7" s="1">
        <f t="shared" si="48"/>
        <v>74770</v>
      </c>
      <c r="EG7" s="1">
        <f t="shared" si="9"/>
        <v>30</v>
      </c>
      <c r="EH7" s="1">
        <f t="shared" si="38"/>
        <v>30</v>
      </c>
      <c r="EI7" s="88"/>
      <c r="EJ7" t="str">
        <f t="shared" si="39"/>
        <v>Jun-2025</v>
      </c>
      <c r="EO7" s="301"/>
      <c r="EP7" s="1">
        <f t="shared" si="10"/>
        <v>0</v>
      </c>
      <c r="EQ7" s="1">
        <f t="shared" si="11"/>
        <v>0</v>
      </c>
      <c r="EU7" s="1">
        <f t="shared" si="12"/>
        <v>0</v>
      </c>
      <c r="EV7" s="1">
        <f t="shared" si="13"/>
        <v>0</v>
      </c>
      <c r="EZ7" s="1">
        <f t="shared" si="14"/>
        <v>2722</v>
      </c>
      <c r="FA7" s="1">
        <f t="shared" si="15"/>
        <v>273</v>
      </c>
      <c r="FE7" s="8"/>
      <c r="FF7" s="8"/>
      <c r="FJ7" s="8"/>
      <c r="FK7" s="8"/>
      <c r="FY7" s="5"/>
      <c r="FZ7" s="1"/>
      <c r="GA7" s="1"/>
      <c r="GF7" s="8">
        <f t="shared" ref="GF7:GF10" si="54">GG6</f>
        <v>30.03</v>
      </c>
      <c r="GG7" s="528">
        <v>33.67</v>
      </c>
      <c r="GH7" s="8">
        <f t="shared" si="16"/>
        <v>3.6400000000000006</v>
      </c>
      <c r="GI7" s="5">
        <v>45108</v>
      </c>
      <c r="GJ7" s="1"/>
      <c r="GK7" s="8"/>
      <c r="GL7" s="527"/>
      <c r="GM7" s="8"/>
    </row>
    <row r="8" spans="1:195" ht="22.15" customHeight="1" thickTop="1" x14ac:dyDescent="0.25">
      <c r="A8" s="1059"/>
      <c r="B8" s="1023" t="s">
        <v>707</v>
      </c>
      <c r="C8" s="1024"/>
      <c r="D8" s="1025"/>
      <c r="E8" s="1195" t="s">
        <v>1015</v>
      </c>
      <c r="F8" s="1195"/>
      <c r="G8" s="1195"/>
      <c r="H8" s="1195"/>
      <c r="I8" s="1196"/>
      <c r="J8" s="33"/>
      <c r="K8" s="1030" t="s">
        <v>1114</v>
      </c>
      <c r="L8" s="1031"/>
      <c r="M8" s="756"/>
      <c r="N8" s="765" t="s">
        <v>686</v>
      </c>
      <c r="O8" s="766" t="s">
        <v>7</v>
      </c>
      <c r="P8" s="625"/>
      <c r="Q8" s="1166"/>
      <c r="R8" s="1167"/>
      <c r="S8" s="601"/>
      <c r="W8" s="33"/>
      <c r="X8" s="484">
        <f t="shared" ref="X8:Y8" si="55">DK6</f>
        <v>45778</v>
      </c>
      <c r="Y8" s="484">
        <f t="shared" si="55"/>
        <v>45808</v>
      </c>
      <c r="Z8" s="485" t="str">
        <f t="shared" si="50"/>
        <v>AGI</v>
      </c>
      <c r="AA8" s="485">
        <f t="shared" si="51"/>
        <v>74770</v>
      </c>
      <c r="AB8" s="546">
        <f t="shared" ref="AB8:AC8" si="56">EP6</f>
        <v>0</v>
      </c>
      <c r="AC8" s="546">
        <f t="shared" si="56"/>
        <v>0</v>
      </c>
      <c r="AD8" s="424">
        <f t="shared" si="53"/>
        <v>0</v>
      </c>
      <c r="AE8" s="547"/>
      <c r="AF8" s="33"/>
      <c r="BE8" s="4" t="e">
        <f>DATE(BE12,BE11,BE10)</f>
        <v>#VALUE!</v>
      </c>
      <c r="BF8" s="418">
        <f>DATE(CH3,4,1)</f>
        <v>46113</v>
      </c>
      <c r="BJ8" s="1">
        <v>5</v>
      </c>
      <c r="BK8" s="1">
        <f t="shared" si="0"/>
        <v>0</v>
      </c>
      <c r="BL8" s="1">
        <f t="shared" si="1"/>
        <v>0</v>
      </c>
      <c r="BM8" s="389">
        <f t="shared" si="2"/>
        <v>0</v>
      </c>
      <c r="BN8" s="1">
        <f ca="1">SUMIF($BL$4:$BL$15,BL8,$BO$4:$BO8)</f>
        <v>0</v>
      </c>
      <c r="BO8" s="420">
        <f t="shared" si="17"/>
        <v>0</v>
      </c>
      <c r="BP8" s="5" t="str">
        <f t="shared" si="40"/>
        <v/>
      </c>
      <c r="BQ8" s="5" t="str">
        <f t="shared" si="18"/>
        <v/>
      </c>
      <c r="BS8" s="390" t="str">
        <f t="shared" si="19"/>
        <v/>
      </c>
      <c r="BT8" s="5" t="str">
        <f t="shared" si="20"/>
        <v/>
      </c>
      <c r="BU8" s="1">
        <f>IFERROR(IF(COUNTIF($BT$4:BT8,BT8)&gt;1,0,INDEX($BM$4:$BM$17,MATCH(BT8,$BP$4:$BP$17,0),1)),0)</f>
        <v>0</v>
      </c>
      <c r="BW8" s="5" t="str">
        <f t="shared" si="3"/>
        <v/>
      </c>
      <c r="BX8" s="1">
        <f t="shared" si="41"/>
        <v>0</v>
      </c>
      <c r="BY8" s="5" t="str">
        <f t="shared" si="42"/>
        <v/>
      </c>
      <c r="CD8" s="1">
        <f>Table!BD2</f>
        <v>100</v>
      </c>
      <c r="CE8" s="5" t="str">
        <f>Table!BE2</f>
        <v/>
      </c>
      <c r="CF8" s="5" t="str">
        <f>IFERROR(DATE(YEAR(CE8),MONTH(CE8),1),"")</f>
        <v/>
      </c>
      <c r="CH8" t="s">
        <v>549</v>
      </c>
      <c r="CL8" t="s">
        <v>635</v>
      </c>
      <c r="CN8">
        <v>5</v>
      </c>
      <c r="CP8" s="392">
        <v>22460</v>
      </c>
      <c r="CQ8" s="394" t="s">
        <v>555</v>
      </c>
      <c r="CR8">
        <v>22240</v>
      </c>
      <c r="CS8" t="s">
        <v>9</v>
      </c>
      <c r="CU8" t="s">
        <v>39</v>
      </c>
      <c r="CV8" t="str">
        <f t="shared" si="21"/>
        <v>Jul-2025</v>
      </c>
      <c r="CW8" s="5">
        <f t="shared" si="43"/>
        <v>45839</v>
      </c>
      <c r="CX8" s="5">
        <f t="shared" si="22"/>
        <v>45869</v>
      </c>
      <c r="CY8" s="4"/>
      <c r="DA8" s="15">
        <f>CW54</f>
        <v>45413</v>
      </c>
      <c r="DB8" s="388" t="str">
        <f>IFERROR(EDATE(DB7,12),"")</f>
        <v/>
      </c>
      <c r="DC8" s="387" t="str">
        <f t="shared" ref="DB8:DC11" si="57">IFERROR(EDATE(DC7,12),"")</f>
        <v/>
      </c>
      <c r="DD8" s="391"/>
      <c r="DE8" s="1" t="str">
        <f t="shared" si="4"/>
        <v/>
      </c>
      <c r="DF8" s="4">
        <f t="shared" si="5"/>
        <v>45839</v>
      </c>
      <c r="DG8" t="str">
        <f t="shared" si="6"/>
        <v/>
      </c>
      <c r="DH8" s="4">
        <f t="shared" si="23"/>
        <v>45869</v>
      </c>
      <c r="DI8">
        <f>IFERROR(IF(AND($CS$3=2,DJ8="AGI",INDEX($DJ$4:$DJ$56,MATCH($DR$1,$DJ$4:DJ8,0),1)=$DR$1),2,0),0)</f>
        <v>0</v>
      </c>
      <c r="DJ8" s="1" t="str">
        <f t="shared" si="24"/>
        <v/>
      </c>
      <c r="DK8" s="5">
        <f t="shared" si="25"/>
        <v>45839</v>
      </c>
      <c r="DL8" s="222">
        <f>IF(AND(NOT($DE$51=""),DK8=$DE$51),$DH$51,IF(AND(NOT($DE$53=""),DK8=$DE$53),$DH$53,INDEX($DH$4:$DH$58,MATCH(DK8,$DF$4:$DF$58,0),1)))</f>
        <v>45869</v>
      </c>
      <c r="DM8" s="225">
        <f t="shared" si="44"/>
        <v>0</v>
      </c>
      <c r="DN8" s="11">
        <f t="shared" si="27"/>
        <v>74770</v>
      </c>
      <c r="DO8" s="11" t="str">
        <f t="shared" si="28"/>
        <v/>
      </c>
      <c r="DP8" s="233">
        <f t="shared" si="45"/>
        <v>74770</v>
      </c>
      <c r="DQ8" s="229" t="str">
        <f t="shared" si="7"/>
        <v/>
      </c>
      <c r="DS8" s="1">
        <f t="shared" si="29"/>
        <v>0</v>
      </c>
      <c r="DT8" s="1">
        <f t="shared" si="30"/>
        <v>74770</v>
      </c>
      <c r="DV8" s="1" t="str">
        <f t="shared" si="8"/>
        <v/>
      </c>
      <c r="DW8" s="1" t="str">
        <f t="shared" si="31"/>
        <v>01-07-2025</v>
      </c>
      <c r="DX8" s="1" t="str">
        <f t="shared" si="32"/>
        <v>31-07-2025</v>
      </c>
      <c r="DY8" s="5">
        <f t="shared" si="46"/>
        <v>45839</v>
      </c>
      <c r="DZ8" s="5">
        <f t="shared" si="33"/>
        <v>45869</v>
      </c>
      <c r="EA8" s="1">
        <f t="shared" si="34"/>
        <v>31</v>
      </c>
      <c r="EB8" s="404">
        <f t="shared" si="47"/>
        <v>0</v>
      </c>
      <c r="EC8" s="421">
        <f t="shared" si="35"/>
        <v>31</v>
      </c>
      <c r="ED8">
        <f t="shared" si="36"/>
        <v>0</v>
      </c>
      <c r="EE8" s="18">
        <f t="shared" si="37"/>
        <v>0</v>
      </c>
      <c r="EF8" s="1">
        <f t="shared" si="48"/>
        <v>74770</v>
      </c>
      <c r="EG8" s="1">
        <f t="shared" si="9"/>
        <v>31</v>
      </c>
      <c r="EH8" s="1">
        <f t="shared" si="38"/>
        <v>31</v>
      </c>
      <c r="EI8" s="88"/>
      <c r="EJ8" t="str">
        <f t="shared" si="39"/>
        <v>Jul-2025</v>
      </c>
      <c r="EO8" s="301"/>
      <c r="EP8" s="1">
        <f t="shared" si="10"/>
        <v>0</v>
      </c>
      <c r="EQ8" s="1">
        <f t="shared" si="11"/>
        <v>0</v>
      </c>
      <c r="EU8" s="1">
        <f t="shared" si="12"/>
        <v>0</v>
      </c>
      <c r="EV8" s="1">
        <f t="shared" si="13"/>
        <v>0</v>
      </c>
      <c r="EZ8" s="1">
        <f t="shared" si="14"/>
        <v>2722</v>
      </c>
      <c r="FA8" s="1">
        <f t="shared" si="15"/>
        <v>273</v>
      </c>
      <c r="FE8" s="8"/>
      <c r="FF8" s="8"/>
      <c r="FJ8" s="8"/>
      <c r="FK8" s="8"/>
      <c r="GF8" s="8">
        <f t="shared" si="54"/>
        <v>33.67</v>
      </c>
      <c r="GG8" s="528">
        <v>37.31</v>
      </c>
      <c r="GH8" s="8">
        <f t="shared" si="16"/>
        <v>3.6400000000000006</v>
      </c>
      <c r="GI8" s="5">
        <v>45292</v>
      </c>
      <c r="GJ8" s="1"/>
      <c r="GK8" s="8"/>
      <c r="GL8" s="527"/>
      <c r="GM8" s="8"/>
    </row>
    <row r="9" spans="1:195" ht="22.15" customHeight="1" x14ac:dyDescent="0.25">
      <c r="A9" s="1059"/>
      <c r="B9" s="1023" t="s">
        <v>325</v>
      </c>
      <c r="C9" s="1024"/>
      <c r="D9" s="1025"/>
      <c r="E9" s="1197" t="s">
        <v>1015</v>
      </c>
      <c r="F9" s="1197"/>
      <c r="G9" s="1197"/>
      <c r="H9" s="1197"/>
      <c r="I9" s="1198"/>
      <c r="J9" s="33"/>
      <c r="K9" s="1030" t="s">
        <v>608</v>
      </c>
      <c r="L9" s="1031"/>
      <c r="M9" s="757"/>
      <c r="N9" s="761" t="s">
        <v>667</v>
      </c>
      <c r="O9" s="767" t="s">
        <v>1101</v>
      </c>
      <c r="P9" s="625"/>
      <c r="Q9" s="1166"/>
      <c r="R9" s="1167"/>
      <c r="S9" s="601"/>
      <c r="W9" s="33"/>
      <c r="X9" s="484">
        <f t="shared" ref="X9:Y9" si="58">DK7</f>
        <v>45809</v>
      </c>
      <c r="Y9" s="484">
        <f t="shared" si="58"/>
        <v>45838</v>
      </c>
      <c r="Z9" s="485" t="str">
        <f t="shared" si="50"/>
        <v/>
      </c>
      <c r="AA9" s="485">
        <f t="shared" si="51"/>
        <v>74770</v>
      </c>
      <c r="AB9" s="546">
        <f t="shared" ref="AB9:AC9" si="59">EP7</f>
        <v>0</v>
      </c>
      <c r="AC9" s="546">
        <f t="shared" si="59"/>
        <v>0</v>
      </c>
      <c r="AD9" s="424">
        <f t="shared" si="53"/>
        <v>0</v>
      </c>
      <c r="AE9" s="547"/>
      <c r="AF9" s="33"/>
      <c r="BE9" t="s">
        <v>1007</v>
      </c>
      <c r="BF9" s="788">
        <f>I3</f>
        <v>0</v>
      </c>
      <c r="BJ9" s="1">
        <v>6</v>
      </c>
      <c r="BK9" s="1">
        <f t="shared" si="0"/>
        <v>0</v>
      </c>
      <c r="BL9" s="1">
        <f t="shared" si="1"/>
        <v>0</v>
      </c>
      <c r="BM9" s="389">
        <f t="shared" si="2"/>
        <v>0</v>
      </c>
      <c r="BN9" s="1">
        <f ca="1">SUMIF($BL$4:$BL$15,BL9,$BO$4:$BO9)</f>
        <v>0</v>
      </c>
      <c r="BO9" s="420">
        <f t="shared" si="17"/>
        <v>0</v>
      </c>
      <c r="BP9" s="5" t="str">
        <f t="shared" si="40"/>
        <v/>
      </c>
      <c r="BQ9" s="5" t="str">
        <f t="shared" si="18"/>
        <v/>
      </c>
      <c r="BS9" s="390" t="str">
        <f t="shared" si="19"/>
        <v/>
      </c>
      <c r="BT9" s="5" t="str">
        <f t="shared" si="20"/>
        <v/>
      </c>
      <c r="BU9" s="1">
        <f>IFERROR(IF(COUNTIF($BT$4:BT9,BT9)&gt;1,0,INDEX($BM$4:$BM$17,MATCH(BT9,$BP$4:$BP$17,0),1)),0)</f>
        <v>0</v>
      </c>
      <c r="BW9" s="5" t="str">
        <f t="shared" si="3"/>
        <v/>
      </c>
      <c r="BX9" s="1">
        <f t="shared" si="41"/>
        <v>0</v>
      </c>
      <c r="BY9" s="5" t="str">
        <f t="shared" si="42"/>
        <v/>
      </c>
      <c r="CD9" s="1"/>
      <c r="CE9" s="1"/>
      <c r="CF9" s="1"/>
      <c r="CH9" t="s">
        <v>550</v>
      </c>
      <c r="CN9">
        <v>6</v>
      </c>
      <c r="CP9" s="392">
        <v>23120</v>
      </c>
      <c r="CQ9" s="394" t="s">
        <v>556</v>
      </c>
      <c r="CR9">
        <v>22900</v>
      </c>
      <c r="CS9" t="s">
        <v>7</v>
      </c>
      <c r="CU9" t="s">
        <v>40</v>
      </c>
      <c r="CV9" t="str">
        <f t="shared" si="21"/>
        <v>Aug-2025</v>
      </c>
      <c r="CW9" s="5">
        <f t="shared" si="43"/>
        <v>45870</v>
      </c>
      <c r="CX9" s="5">
        <f t="shared" si="22"/>
        <v>45900</v>
      </c>
      <c r="CY9" s="4"/>
      <c r="DA9" s="15">
        <f>CW55</f>
        <v>45778</v>
      </c>
      <c r="DB9" s="388" t="str">
        <f t="shared" si="57"/>
        <v/>
      </c>
      <c r="DC9" s="387" t="str">
        <f t="shared" si="57"/>
        <v/>
      </c>
      <c r="DD9" s="391"/>
      <c r="DE9" s="1" t="str">
        <f t="shared" si="4"/>
        <v/>
      </c>
      <c r="DF9" s="4">
        <f t="shared" si="5"/>
        <v>45870</v>
      </c>
      <c r="DG9" t="str">
        <f t="shared" si="6"/>
        <v/>
      </c>
      <c r="DH9" s="4">
        <f t="shared" si="23"/>
        <v>45900</v>
      </c>
      <c r="DI9">
        <f>IFERROR(IF(AND($CS$3=2,DJ9="AGI",INDEX($DJ$4:$DJ$56,MATCH($DR$1,$DJ$4:DJ9,0),1)=$DR$1),2,0),0)</f>
        <v>0</v>
      </c>
      <c r="DJ9" s="1" t="str">
        <f t="shared" si="24"/>
        <v/>
      </c>
      <c r="DK9" s="5">
        <f t="shared" si="25"/>
        <v>45870</v>
      </c>
      <c r="DL9" s="222">
        <f t="shared" si="26"/>
        <v>45900</v>
      </c>
      <c r="DM9" s="225">
        <f t="shared" si="44"/>
        <v>0</v>
      </c>
      <c r="DN9" s="11">
        <f t="shared" si="27"/>
        <v>74770</v>
      </c>
      <c r="DO9" s="11" t="str">
        <f t="shared" si="28"/>
        <v/>
      </c>
      <c r="DP9" s="233">
        <f t="shared" si="45"/>
        <v>74770</v>
      </c>
      <c r="DQ9" s="229" t="str">
        <f t="shared" si="7"/>
        <v/>
      </c>
      <c r="DS9" s="1">
        <f t="shared" si="29"/>
        <v>0</v>
      </c>
      <c r="DT9" s="1">
        <f t="shared" si="30"/>
        <v>74770</v>
      </c>
      <c r="DV9" s="1" t="str">
        <f t="shared" si="8"/>
        <v/>
      </c>
      <c r="DW9" s="1" t="str">
        <f t="shared" si="31"/>
        <v>01-08-2025</v>
      </c>
      <c r="DX9" s="1" t="str">
        <f t="shared" si="32"/>
        <v>31-08-2025</v>
      </c>
      <c r="DY9" s="5">
        <f t="shared" si="46"/>
        <v>45870</v>
      </c>
      <c r="DZ9" s="5">
        <f t="shared" si="33"/>
        <v>45900</v>
      </c>
      <c r="EA9" s="1">
        <f t="shared" si="34"/>
        <v>31</v>
      </c>
      <c r="EB9" s="404">
        <f t="shared" si="47"/>
        <v>0</v>
      </c>
      <c r="EC9" s="421">
        <f>IFERROR(IF(EB9=0,EA9,MAX(IF(EB9=0.5,EA9/2,EA9+EB9),0)),"")</f>
        <v>31</v>
      </c>
      <c r="ED9">
        <f t="shared" si="36"/>
        <v>0</v>
      </c>
      <c r="EE9" s="18">
        <f t="shared" si="37"/>
        <v>0</v>
      </c>
      <c r="EF9" s="1">
        <f t="shared" si="48"/>
        <v>74770</v>
      </c>
      <c r="EG9" s="1">
        <f t="shared" si="9"/>
        <v>31</v>
      </c>
      <c r="EH9" s="1">
        <f t="shared" si="38"/>
        <v>31</v>
      </c>
      <c r="EI9" s="88"/>
      <c r="EJ9" t="str">
        <f t="shared" si="39"/>
        <v>Aug-2025</v>
      </c>
      <c r="EO9" s="301"/>
      <c r="EP9" s="1">
        <f t="shared" si="10"/>
        <v>0</v>
      </c>
      <c r="EQ9" s="1">
        <f t="shared" si="11"/>
        <v>0</v>
      </c>
      <c r="EU9" s="1">
        <f>IF($AR$44=$EO$57,0,IF(AND(DK9&gt;=$EU$1,$DK9&lt;=$EV$1),SUM(ROUND(EF9*$EV$2%,0)-ROUND(EF9*$EU$2%,0)),0))</f>
        <v>0</v>
      </c>
      <c r="EV9" s="1">
        <f t="shared" si="13"/>
        <v>0</v>
      </c>
      <c r="EZ9" s="1">
        <f t="shared" si="14"/>
        <v>0</v>
      </c>
      <c r="FA9" s="1">
        <f t="shared" si="15"/>
        <v>0</v>
      </c>
      <c r="FE9" s="8"/>
      <c r="FF9" s="8"/>
      <c r="FJ9" s="8"/>
      <c r="FK9" s="8"/>
      <c r="FY9" s="22" t="s">
        <v>82</v>
      </c>
      <c r="FZ9" s="22" t="s">
        <v>722</v>
      </c>
      <c r="GF9" s="8">
        <f t="shared" si="54"/>
        <v>37.31</v>
      </c>
      <c r="GG9" s="528">
        <v>40.04</v>
      </c>
      <c r="GH9" s="8">
        <f t="shared" si="16"/>
        <v>2.7299999999999969</v>
      </c>
      <c r="GI9" s="5">
        <v>45474</v>
      </c>
      <c r="GJ9" s="1"/>
      <c r="GK9" s="8"/>
      <c r="GL9" s="527"/>
      <c r="GM9" s="8"/>
    </row>
    <row r="10" spans="1:195" ht="22.15" customHeight="1" x14ac:dyDescent="0.25">
      <c r="A10" s="1059"/>
      <c r="B10" s="1095" t="s">
        <v>708</v>
      </c>
      <c r="C10" s="1096"/>
      <c r="D10" s="1097"/>
      <c r="E10" s="1199"/>
      <c r="F10" s="1199"/>
      <c r="G10" s="1199"/>
      <c r="H10" s="1199"/>
      <c r="I10" s="1200"/>
      <c r="J10" s="33"/>
      <c r="K10" s="1030" t="s">
        <v>607</v>
      </c>
      <c r="L10" s="1031"/>
      <c r="M10" s="757"/>
      <c r="N10" s="762" t="s">
        <v>5</v>
      </c>
      <c r="O10" s="768" t="s">
        <v>49</v>
      </c>
      <c r="P10" s="625"/>
      <c r="Q10" s="1166"/>
      <c r="R10" s="1167"/>
      <c r="S10" s="601"/>
      <c r="W10" s="33"/>
      <c r="X10" s="484">
        <f t="shared" ref="X10:Y10" si="60">DK8</f>
        <v>45839</v>
      </c>
      <c r="Y10" s="484">
        <f t="shared" si="60"/>
        <v>45869</v>
      </c>
      <c r="Z10" s="485" t="str">
        <f t="shared" si="50"/>
        <v/>
      </c>
      <c r="AA10" s="485">
        <f t="shared" si="51"/>
        <v>74770</v>
      </c>
      <c r="AB10" s="546">
        <f t="shared" ref="AB10:AC10" si="61">EP8</f>
        <v>0</v>
      </c>
      <c r="AC10" s="546">
        <f t="shared" si="61"/>
        <v>0</v>
      </c>
      <c r="AD10" s="424">
        <f t="shared" si="53"/>
        <v>0</v>
      </c>
      <c r="AE10" s="547"/>
      <c r="AF10" s="33"/>
      <c r="BE10" t="str">
        <f>LEFT(BF9,2)</f>
        <v>0</v>
      </c>
      <c r="BF10" s="22" t="str">
        <f>IF(I3="","",IFERROR(DATEDIF(BE8, BF8, "y"),DATEDIF(BF9, BF8, "y")))</f>
        <v/>
      </c>
      <c r="BJ10" s="1">
        <v>7</v>
      </c>
      <c r="BK10" s="1">
        <f t="shared" si="0"/>
        <v>0</v>
      </c>
      <c r="BL10" s="1">
        <f t="shared" si="1"/>
        <v>0</v>
      </c>
      <c r="BM10" s="389">
        <f t="shared" si="2"/>
        <v>0</v>
      </c>
      <c r="BN10" s="1">
        <f ca="1">SUMIF($BL$4:$BL$15,BL10,$BO$4:$BO10)</f>
        <v>0</v>
      </c>
      <c r="BO10" s="420">
        <f t="shared" si="17"/>
        <v>0</v>
      </c>
      <c r="BP10" s="5" t="str">
        <f t="shared" si="40"/>
        <v/>
      </c>
      <c r="BQ10" s="5" t="str">
        <f t="shared" si="18"/>
        <v/>
      </c>
      <c r="BS10" s="390" t="str">
        <f t="shared" si="19"/>
        <v/>
      </c>
      <c r="BT10" s="5" t="str">
        <f t="shared" si="20"/>
        <v/>
      </c>
      <c r="BU10" s="1">
        <f>IFERROR(IF(COUNTIF($BT$4:BT10,BT10)&gt;1,0,INDEX($BM$4:$BM$17,MATCH(BT10,$BP$4:$BP$17,0),1)),0)</f>
        <v>0</v>
      </c>
      <c r="BW10" s="5" t="str">
        <f t="shared" si="3"/>
        <v/>
      </c>
      <c r="BX10" s="1">
        <f t="shared" si="41"/>
        <v>0</v>
      </c>
      <c r="BY10" s="5" t="str">
        <f t="shared" si="42"/>
        <v/>
      </c>
      <c r="CD10" s="1"/>
      <c r="CE10" s="1" t="s">
        <v>592</v>
      </c>
      <c r="CF10" s="1"/>
      <c r="CN10">
        <v>7</v>
      </c>
      <c r="CP10" s="392">
        <v>23780</v>
      </c>
      <c r="CQ10" s="394" t="s">
        <v>557</v>
      </c>
      <c r="CR10">
        <v>24280</v>
      </c>
      <c r="CU10" t="s">
        <v>41</v>
      </c>
      <c r="CV10" t="str">
        <f t="shared" si="21"/>
        <v>Sep-2025</v>
      </c>
      <c r="CW10" s="5">
        <f t="shared" si="43"/>
        <v>45901</v>
      </c>
      <c r="CX10" s="5">
        <f t="shared" si="22"/>
        <v>45930</v>
      </c>
      <c r="CY10" s="4"/>
      <c r="DA10" s="15">
        <f>CW56</f>
        <v>46143</v>
      </c>
      <c r="DB10" s="388" t="str">
        <f t="shared" si="57"/>
        <v/>
      </c>
      <c r="DC10" s="387" t="str">
        <f t="shared" si="57"/>
        <v/>
      </c>
      <c r="DD10" s="391"/>
      <c r="DE10" s="1" t="str">
        <f t="shared" si="4"/>
        <v/>
      </c>
      <c r="DF10" s="4">
        <f t="shared" si="5"/>
        <v>45901</v>
      </c>
      <c r="DG10" t="str">
        <f t="shared" si="6"/>
        <v/>
      </c>
      <c r="DH10" s="4">
        <f t="shared" si="23"/>
        <v>45930</v>
      </c>
      <c r="DI10">
        <f>IFERROR(IF(AND($CS$3=2,DJ10="AGI",INDEX($DJ$4:$DJ$56,MATCH($DR$1,$DJ$4:DJ10,0),1)=$DR$1),2,0),0)</f>
        <v>0</v>
      </c>
      <c r="DJ10" s="1" t="str">
        <f t="shared" si="24"/>
        <v/>
      </c>
      <c r="DK10" s="5">
        <f t="shared" si="25"/>
        <v>45901</v>
      </c>
      <c r="DL10" s="222">
        <f t="shared" si="26"/>
        <v>45930</v>
      </c>
      <c r="DM10" s="225">
        <f t="shared" si="44"/>
        <v>0</v>
      </c>
      <c r="DN10" s="11">
        <f t="shared" si="27"/>
        <v>74770</v>
      </c>
      <c r="DO10" s="11" t="str">
        <f t="shared" si="28"/>
        <v/>
      </c>
      <c r="DP10" s="233">
        <f t="shared" si="45"/>
        <v>74770</v>
      </c>
      <c r="DQ10" s="229" t="str">
        <f t="shared" si="7"/>
        <v/>
      </c>
      <c r="DS10" s="1">
        <f t="shared" si="29"/>
        <v>0</v>
      </c>
      <c r="DT10" s="1">
        <f t="shared" si="30"/>
        <v>74770</v>
      </c>
      <c r="DV10" s="1" t="str">
        <f t="shared" si="8"/>
        <v/>
      </c>
      <c r="DW10" s="1" t="str">
        <f t="shared" si="31"/>
        <v>01-09-2025</v>
      </c>
      <c r="DX10" s="1" t="str">
        <f t="shared" si="32"/>
        <v>30-09-2025</v>
      </c>
      <c r="DY10" s="5">
        <f t="shared" si="46"/>
        <v>45901</v>
      </c>
      <c r="DZ10" s="5">
        <f t="shared" si="33"/>
        <v>45930</v>
      </c>
      <c r="EA10" s="1">
        <f t="shared" si="34"/>
        <v>30</v>
      </c>
      <c r="EB10" s="404">
        <f t="shared" si="47"/>
        <v>0</v>
      </c>
      <c r="EC10" s="421">
        <f t="shared" si="35"/>
        <v>30</v>
      </c>
      <c r="ED10">
        <f t="shared" si="36"/>
        <v>0</v>
      </c>
      <c r="EE10" s="18">
        <f t="shared" si="37"/>
        <v>0</v>
      </c>
      <c r="EF10" s="1">
        <f t="shared" si="48"/>
        <v>74770</v>
      </c>
      <c r="EG10" s="1">
        <f t="shared" si="9"/>
        <v>30</v>
      </c>
      <c r="EH10" s="1">
        <f t="shared" si="38"/>
        <v>30</v>
      </c>
      <c r="EI10" s="88"/>
      <c r="EJ10" t="str">
        <f t="shared" si="39"/>
        <v>Sep-2025</v>
      </c>
      <c r="EM10" s="396"/>
      <c r="EO10" s="301"/>
      <c r="EP10" s="1">
        <f t="shared" si="10"/>
        <v>0</v>
      </c>
      <c r="EQ10" s="1">
        <f t="shared" si="11"/>
        <v>0</v>
      </c>
      <c r="EU10" s="1">
        <f t="shared" si="12"/>
        <v>0</v>
      </c>
      <c r="EV10" s="1">
        <f t="shared" si="13"/>
        <v>0</v>
      </c>
      <c r="EZ10" s="1">
        <f t="shared" si="14"/>
        <v>0</v>
      </c>
      <c r="FA10" s="1">
        <f t="shared" si="15"/>
        <v>0</v>
      </c>
      <c r="FE10" s="8"/>
      <c r="FF10" s="8"/>
      <c r="FJ10" s="8"/>
      <c r="FK10" s="8"/>
      <c r="FY10" s="390" t="s">
        <v>486</v>
      </c>
      <c r="FZ10" s="988" t="s">
        <v>1118</v>
      </c>
      <c r="GA10" s="390" t="s">
        <v>1119</v>
      </c>
      <c r="GB10" s="390" t="s">
        <v>85</v>
      </c>
      <c r="GF10" s="8">
        <f t="shared" si="54"/>
        <v>40.04</v>
      </c>
      <c r="GG10" s="528">
        <v>41.86</v>
      </c>
      <c r="GH10" s="8">
        <f t="shared" si="16"/>
        <v>1.8200000000000003</v>
      </c>
      <c r="GI10" s="5">
        <v>45658</v>
      </c>
      <c r="GJ10" s="1"/>
      <c r="GK10" s="8"/>
      <c r="GL10" s="527"/>
      <c r="GM10" s="8"/>
    </row>
    <row r="11" spans="1:195" ht="22.15" customHeight="1" thickBot="1" x14ac:dyDescent="0.3">
      <c r="A11" s="1060"/>
      <c r="B11" s="1095" t="s">
        <v>709</v>
      </c>
      <c r="C11" s="1096"/>
      <c r="D11" s="1097"/>
      <c r="E11" s="1199"/>
      <c r="F11" s="1199"/>
      <c r="G11" s="1199"/>
      <c r="H11" s="1199"/>
      <c r="I11" s="1200"/>
      <c r="J11" s="33"/>
      <c r="K11" s="1087" t="s">
        <v>640</v>
      </c>
      <c r="L11" s="1088"/>
      <c r="M11" s="758"/>
      <c r="N11" s="769" t="s">
        <v>468</v>
      </c>
      <c r="O11" s="770">
        <v>78820</v>
      </c>
      <c r="P11" s="625"/>
      <c r="Q11" s="1168"/>
      <c r="R11" s="1169"/>
      <c r="S11" s="601"/>
      <c r="W11" s="33"/>
      <c r="X11" s="484">
        <f t="shared" ref="X11:Y11" si="62">DK9</f>
        <v>45870</v>
      </c>
      <c r="Y11" s="484">
        <f t="shared" si="62"/>
        <v>45900</v>
      </c>
      <c r="Z11" s="485" t="str">
        <f t="shared" si="50"/>
        <v/>
      </c>
      <c r="AA11" s="485">
        <f t="shared" si="51"/>
        <v>74770</v>
      </c>
      <c r="AB11" s="546">
        <f t="shared" ref="AB11:AC11" si="63">EP9</f>
        <v>0</v>
      </c>
      <c r="AC11" s="546">
        <f t="shared" si="63"/>
        <v>0</v>
      </c>
      <c r="AD11" s="424">
        <f t="shared" si="53"/>
        <v>0</v>
      </c>
      <c r="AE11" s="547"/>
      <c r="AF11" s="33"/>
      <c r="BE11" t="str">
        <f>MID(BF9,4,2)</f>
        <v/>
      </c>
      <c r="BF11" s="22" t="str">
        <f>IF(BF10&gt;=60,"Senior Citizens",IF(BF10&gt;=80,"Very Senior Citizens","Gen&lt;60"))</f>
        <v>Senior Citizens</v>
      </c>
      <c r="BJ11" s="1">
        <v>8</v>
      </c>
      <c r="BK11" s="1">
        <f t="shared" si="0"/>
        <v>0</v>
      </c>
      <c r="BL11" s="1">
        <f t="shared" si="1"/>
        <v>0</v>
      </c>
      <c r="BM11" s="389">
        <f t="shared" si="2"/>
        <v>0</v>
      </c>
      <c r="BN11" s="1">
        <f ca="1">SUMIF($BL$4:$BL$15,BL11,$BO$4:$BO11)</f>
        <v>0</v>
      </c>
      <c r="BO11" s="420">
        <f t="shared" si="17"/>
        <v>0</v>
      </c>
      <c r="BP11" s="5" t="str">
        <f t="shared" si="40"/>
        <v/>
      </c>
      <c r="BQ11" s="5" t="str">
        <f t="shared" si="18"/>
        <v/>
      </c>
      <c r="BS11" s="390" t="str">
        <f t="shared" si="19"/>
        <v/>
      </c>
      <c r="BT11" s="5" t="str">
        <f t="shared" si="20"/>
        <v/>
      </c>
      <c r="BU11" s="1">
        <f>IFERROR(IF(COUNTIF($BT$4:BT11,BT11)&gt;1,0,INDEX($BM$4:$BM$17,MATCH(BT11,$BP$4:$BP$17,0),1)),0)</f>
        <v>0</v>
      </c>
      <c r="BW11" s="5" t="str">
        <f t="shared" si="3"/>
        <v/>
      </c>
      <c r="BX11" s="1">
        <f t="shared" si="41"/>
        <v>0</v>
      </c>
      <c r="BY11" s="5" t="str">
        <f t="shared" si="42"/>
        <v/>
      </c>
      <c r="CD11" s="4">
        <f>DATE(CH2,3,1)</f>
        <v>45717</v>
      </c>
      <c r="CE11" s="316">
        <f>INDEX($I$36:$I$47,MATCH(CH11,$H$36:$H$47,0),1)</f>
        <v>0</v>
      </c>
      <c r="CG11" s="4">
        <f>IFERROR(CD11,CD11)</f>
        <v>45717</v>
      </c>
      <c r="CH11" s="4" t="str">
        <f>TEXT(CD11,"mmm-yyyy")</f>
        <v>Mar-2025</v>
      </c>
      <c r="CJ11" t="s">
        <v>597</v>
      </c>
      <c r="CN11">
        <v>8</v>
      </c>
      <c r="CP11" s="392">
        <v>24500</v>
      </c>
      <c r="CQ11" s="394" t="s">
        <v>558</v>
      </c>
      <c r="CR11">
        <v>26410</v>
      </c>
      <c r="CS11" s="230" t="s">
        <v>16</v>
      </c>
      <c r="CU11" t="s">
        <v>42</v>
      </c>
      <c r="CV11" t="str">
        <f t="shared" si="21"/>
        <v>Oct-2025</v>
      </c>
      <c r="CW11" s="5">
        <f t="shared" si="43"/>
        <v>45931</v>
      </c>
      <c r="CX11" s="5">
        <f t="shared" si="22"/>
        <v>45961</v>
      </c>
      <c r="CY11" s="4"/>
      <c r="DA11" s="15"/>
      <c r="DB11" s="388" t="str">
        <f t="shared" si="57"/>
        <v/>
      </c>
      <c r="DC11" s="387" t="str">
        <f t="shared" si="57"/>
        <v/>
      </c>
      <c r="DD11" s="391"/>
      <c r="DE11" s="1" t="str">
        <f t="shared" si="4"/>
        <v/>
      </c>
      <c r="DF11" s="4">
        <f t="shared" si="5"/>
        <v>45931</v>
      </c>
      <c r="DG11" t="str">
        <f t="shared" si="6"/>
        <v/>
      </c>
      <c r="DH11" s="4">
        <f t="shared" si="23"/>
        <v>45961</v>
      </c>
      <c r="DI11">
        <f>IFERROR(IF(AND($CS$3=2,DJ11="AGI",INDEX($DJ$4:$DJ$56,MATCH($DR$1,$DJ$4:DJ11,0),1)=$DR$1),2,0),0)</f>
        <v>0</v>
      </c>
      <c r="DJ11" s="1" t="str">
        <f t="shared" si="24"/>
        <v/>
      </c>
      <c r="DK11" s="5">
        <f t="shared" si="25"/>
        <v>45931</v>
      </c>
      <c r="DL11" s="222">
        <f t="shared" si="26"/>
        <v>45961</v>
      </c>
      <c r="DM11" s="225">
        <f t="shared" si="44"/>
        <v>0</v>
      </c>
      <c r="DN11" s="11">
        <f t="shared" si="27"/>
        <v>74770</v>
      </c>
      <c r="DO11" s="11" t="str">
        <f t="shared" si="28"/>
        <v/>
      </c>
      <c r="DP11" s="233">
        <f t="shared" si="45"/>
        <v>74770</v>
      </c>
      <c r="DQ11" s="229" t="str">
        <f t="shared" si="7"/>
        <v/>
      </c>
      <c r="DS11" s="1">
        <f t="shared" si="29"/>
        <v>0</v>
      </c>
      <c r="DT11" s="1">
        <f t="shared" si="30"/>
        <v>74770</v>
      </c>
      <c r="DV11" s="1" t="str">
        <f t="shared" si="8"/>
        <v/>
      </c>
      <c r="DW11" s="1" t="str">
        <f t="shared" si="31"/>
        <v>01-10-2025</v>
      </c>
      <c r="DX11" s="1" t="str">
        <f t="shared" si="32"/>
        <v>31-10-2025</v>
      </c>
      <c r="DY11" s="5">
        <f t="shared" si="46"/>
        <v>45931</v>
      </c>
      <c r="DZ11" s="5">
        <f t="shared" si="33"/>
        <v>45961</v>
      </c>
      <c r="EA11" s="1">
        <f t="shared" si="34"/>
        <v>31</v>
      </c>
      <c r="EB11" s="404">
        <f t="shared" si="47"/>
        <v>0</v>
      </c>
      <c r="EC11" s="421">
        <f t="shared" si="35"/>
        <v>31</v>
      </c>
      <c r="ED11">
        <f t="shared" si="36"/>
        <v>0</v>
      </c>
      <c r="EE11" s="18">
        <f t="shared" si="37"/>
        <v>0</v>
      </c>
      <c r="EF11" s="1">
        <f t="shared" si="48"/>
        <v>74770</v>
      </c>
      <c r="EG11" s="1">
        <f t="shared" si="9"/>
        <v>31</v>
      </c>
      <c r="EH11" s="1">
        <f t="shared" si="38"/>
        <v>31</v>
      </c>
      <c r="EI11" s="88"/>
      <c r="EJ11" t="str">
        <f t="shared" si="39"/>
        <v>Oct-2025</v>
      </c>
      <c r="EM11" s="396"/>
      <c r="EO11" s="301"/>
      <c r="EP11" s="1">
        <f t="shared" si="10"/>
        <v>0</v>
      </c>
      <c r="EQ11" s="1">
        <f t="shared" si="11"/>
        <v>0</v>
      </c>
      <c r="EU11" s="1">
        <f t="shared" si="12"/>
        <v>0</v>
      </c>
      <c r="EV11" s="1">
        <f t="shared" si="13"/>
        <v>0</v>
      </c>
      <c r="EZ11" s="1">
        <f>IF(AND(DK11&gt;=$EZ$1,$DK11&lt;=$FA$1),ROUND(EF11*$EY$2%,0),0)</f>
        <v>0</v>
      </c>
      <c r="FA11" s="1">
        <f t="shared" si="15"/>
        <v>0</v>
      </c>
      <c r="FE11" s="8"/>
      <c r="FF11" s="8"/>
      <c r="FJ11" s="8"/>
      <c r="FK11" s="8"/>
      <c r="FY11" s="390">
        <v>0</v>
      </c>
      <c r="FZ11" s="390">
        <v>400</v>
      </c>
      <c r="GA11" s="390">
        <v>250</v>
      </c>
      <c r="GB11" s="390">
        <v>200</v>
      </c>
      <c r="GF11" s="8">
        <f t="shared" ref="GF11:GF13" si="64">GG10</f>
        <v>41.86</v>
      </c>
      <c r="GG11" s="528">
        <v>44.59</v>
      </c>
      <c r="GH11" s="8">
        <f t="shared" ref="GH11:GH13" si="65">IF(GG11="",0,GG11-GF11)</f>
        <v>2.730000000000004</v>
      </c>
      <c r="GI11" s="5">
        <v>45839</v>
      </c>
      <c r="GJ11" s="1"/>
      <c r="GK11" s="8"/>
      <c r="GL11" s="527"/>
      <c r="GM11" s="8"/>
    </row>
    <row r="12" spans="1:195" ht="22.15" customHeight="1" thickTop="1" thickBot="1" x14ac:dyDescent="0.3">
      <c r="A12" s="1056" t="s">
        <v>706</v>
      </c>
      <c r="B12" s="1044" t="s">
        <v>0</v>
      </c>
      <c r="C12" s="1045"/>
      <c r="D12" s="1046"/>
      <c r="E12" s="1018"/>
      <c r="F12" s="1018"/>
      <c r="G12" s="1018"/>
      <c r="H12" s="1018"/>
      <c r="I12" s="1019"/>
      <c r="J12" s="33"/>
      <c r="K12" s="597" t="s">
        <v>621</v>
      </c>
      <c r="L12" s="583" t="s">
        <v>47</v>
      </c>
      <c r="M12" s="620" t="s">
        <v>634</v>
      </c>
      <c r="N12" s="763" t="s">
        <v>738</v>
      </c>
      <c r="O12" s="764">
        <f>IF(L12="SELF",2000,0)</f>
        <v>0</v>
      </c>
      <c r="P12" s="612"/>
      <c r="Q12" s="1152" t="str">
        <f>"UPDATED INCOME TAX SOFTWARE FY "&amp;CH4</f>
        <v>UPDATED INCOME TAX SOFTWARE FY 2025-2026</v>
      </c>
      <c r="R12" s="1153"/>
      <c r="S12" s="601"/>
      <c r="W12" s="33"/>
      <c r="X12" s="484">
        <f t="shared" ref="X12:Y12" si="66">DK10</f>
        <v>45901</v>
      </c>
      <c r="Y12" s="484">
        <f t="shared" si="66"/>
        <v>45930</v>
      </c>
      <c r="Z12" s="485" t="str">
        <f t="shared" si="50"/>
        <v/>
      </c>
      <c r="AA12" s="485">
        <f t="shared" si="51"/>
        <v>74770</v>
      </c>
      <c r="AB12" s="546">
        <f t="shared" ref="AB12:AC12" si="67">EP10</f>
        <v>0</v>
      </c>
      <c r="AC12" s="546">
        <f t="shared" si="67"/>
        <v>0</v>
      </c>
      <c r="AD12" s="424">
        <f t="shared" si="53"/>
        <v>0</v>
      </c>
      <c r="AE12" s="547"/>
      <c r="AF12" s="33"/>
      <c r="BE12" t="str">
        <f>RIGHT(BF9,4)</f>
        <v>0</v>
      </c>
      <c r="BJ12" s="1">
        <v>9</v>
      </c>
      <c r="BK12" s="1">
        <f t="shared" si="0"/>
        <v>0</v>
      </c>
      <c r="BL12" s="1">
        <f t="shared" si="1"/>
        <v>0</v>
      </c>
      <c r="BM12" s="389">
        <f t="shared" si="2"/>
        <v>0</v>
      </c>
      <c r="BN12" s="1">
        <f ca="1">SUMIF($BL$4:$BL$15,BL12,$BO$4:$BO12)</f>
        <v>0</v>
      </c>
      <c r="BO12" s="420">
        <f t="shared" si="17"/>
        <v>0</v>
      </c>
      <c r="BP12" s="5" t="str">
        <f t="shared" si="40"/>
        <v/>
      </c>
      <c r="BQ12" s="5" t="str">
        <f t="shared" si="18"/>
        <v/>
      </c>
      <c r="BS12" s="390" t="str">
        <f t="shared" si="19"/>
        <v/>
      </c>
      <c r="BT12" s="5" t="str">
        <f t="shared" si="20"/>
        <v/>
      </c>
      <c r="BU12" s="1">
        <f>IFERROR(IF(COUNTIF($BT$4:BT12,BT12)&gt;1,0,INDEX($BM$4:$BM$17,MATCH(BT12,$BP$4:$BP$17,0),1)),0)</f>
        <v>0</v>
      </c>
      <c r="BW12" s="5" t="str">
        <f t="shared" si="3"/>
        <v/>
      </c>
      <c r="BX12" s="1">
        <f t="shared" si="41"/>
        <v>0</v>
      </c>
      <c r="BY12" s="5" t="str">
        <f t="shared" si="42"/>
        <v/>
      </c>
      <c r="CD12" s="4">
        <f>EDATE(CD11,1)</f>
        <v>45748</v>
      </c>
      <c r="CE12" s="316">
        <f t="shared" ref="CE12:CE22" si="68">INDEX($I$36:$I$47,MATCH(CH12,$H$36:$H$47,0),1)</f>
        <v>0</v>
      </c>
      <c r="CG12" s="4">
        <f t="shared" ref="CG12:CG22" si="69">IFERROR(CD12,CD12)</f>
        <v>45748</v>
      </c>
      <c r="CH12" s="4" t="str">
        <f t="shared" ref="CH12:CH22" si="70">TEXT(CD12,"mmm-yyyy")</f>
        <v>Apr-2025</v>
      </c>
      <c r="CJ12" t="s">
        <v>596</v>
      </c>
      <c r="CN12">
        <v>9</v>
      </c>
      <c r="CP12" s="392">
        <v>25220</v>
      </c>
      <c r="CQ12" s="394" t="s">
        <v>559</v>
      </c>
      <c r="CR12">
        <v>27130</v>
      </c>
      <c r="CS12" s="230" t="s">
        <v>603</v>
      </c>
      <c r="CU12" t="s">
        <v>43</v>
      </c>
      <c r="CV12" t="str">
        <f t="shared" si="21"/>
        <v>Nov-2025</v>
      </c>
      <c r="CW12" s="5">
        <f t="shared" si="43"/>
        <v>45962</v>
      </c>
      <c r="CX12" s="5">
        <f t="shared" si="22"/>
        <v>45991</v>
      </c>
      <c r="CY12" s="4"/>
      <c r="DE12" s="1" t="str">
        <f t="shared" si="4"/>
        <v/>
      </c>
      <c r="DF12" s="4">
        <f t="shared" si="5"/>
        <v>45962</v>
      </c>
      <c r="DG12" t="str">
        <f t="shared" si="6"/>
        <v/>
      </c>
      <c r="DH12" s="4">
        <f t="shared" si="23"/>
        <v>45991</v>
      </c>
      <c r="DI12">
        <f>IFERROR(IF(AND($CS$3=2,DJ12="AGI",INDEX($DJ$4:$DJ$56,MATCH($DR$1,$DJ$4:DJ12,0),1)=$DR$1),2,0),0)</f>
        <v>0</v>
      </c>
      <c r="DJ12" s="1" t="str">
        <f t="shared" si="24"/>
        <v/>
      </c>
      <c r="DK12" s="5">
        <f t="shared" si="25"/>
        <v>45962</v>
      </c>
      <c r="DL12" s="222">
        <f t="shared" si="26"/>
        <v>45991</v>
      </c>
      <c r="DM12" s="225">
        <f t="shared" si="44"/>
        <v>0</v>
      </c>
      <c r="DN12" s="11">
        <f t="shared" si="27"/>
        <v>74770</v>
      </c>
      <c r="DO12" s="11" t="str">
        <f t="shared" si="28"/>
        <v/>
      </c>
      <c r="DP12" s="233">
        <f t="shared" si="45"/>
        <v>74770</v>
      </c>
      <c r="DQ12" s="229" t="str">
        <f t="shared" si="7"/>
        <v/>
      </c>
      <c r="DS12" s="1">
        <f t="shared" si="29"/>
        <v>0</v>
      </c>
      <c r="DT12" s="1">
        <f t="shared" si="30"/>
        <v>74770</v>
      </c>
      <c r="DV12" s="1" t="str">
        <f t="shared" si="8"/>
        <v/>
      </c>
      <c r="DW12" s="1" t="str">
        <f t="shared" si="31"/>
        <v>01-11-2025</v>
      </c>
      <c r="DX12" s="1" t="str">
        <f t="shared" si="32"/>
        <v>30-11-2025</v>
      </c>
      <c r="DY12" s="5">
        <f t="shared" si="46"/>
        <v>45962</v>
      </c>
      <c r="DZ12" s="5">
        <f t="shared" si="33"/>
        <v>45991</v>
      </c>
      <c r="EA12" s="1">
        <f t="shared" si="34"/>
        <v>30</v>
      </c>
      <c r="EB12" s="404">
        <f t="shared" si="47"/>
        <v>0</v>
      </c>
      <c r="EC12" s="421">
        <f t="shared" si="35"/>
        <v>30</v>
      </c>
      <c r="ED12">
        <f t="shared" si="36"/>
        <v>0</v>
      </c>
      <c r="EE12" s="18">
        <f t="shared" si="37"/>
        <v>0</v>
      </c>
      <c r="EF12" s="1">
        <f t="shared" si="48"/>
        <v>74770</v>
      </c>
      <c r="EG12" s="1">
        <f t="shared" si="9"/>
        <v>30</v>
      </c>
      <c r="EH12" s="1">
        <f t="shared" si="38"/>
        <v>30</v>
      </c>
      <c r="EI12" s="88"/>
      <c r="EJ12" t="str">
        <f t="shared" si="39"/>
        <v>Nov-2025</v>
      </c>
      <c r="EM12" s="396"/>
      <c r="EO12" s="301"/>
      <c r="EP12" s="1">
        <f t="shared" si="10"/>
        <v>0</v>
      </c>
      <c r="EQ12" s="1">
        <f t="shared" si="11"/>
        <v>0</v>
      </c>
      <c r="EU12" s="1">
        <f t="shared" si="12"/>
        <v>0</v>
      </c>
      <c r="EV12" s="1">
        <f t="shared" si="13"/>
        <v>0</v>
      </c>
      <c r="EZ12" s="1">
        <f t="shared" si="14"/>
        <v>0</v>
      </c>
      <c r="FA12" s="1">
        <f t="shared" si="15"/>
        <v>0</v>
      </c>
      <c r="FE12" s="8"/>
      <c r="FF12" s="8"/>
      <c r="FJ12" s="8"/>
      <c r="FK12" s="8"/>
      <c r="FY12" s="390">
        <v>25221</v>
      </c>
      <c r="FZ12" s="390">
        <v>600</v>
      </c>
      <c r="GA12" s="390">
        <v>350</v>
      </c>
      <c r="GB12" s="390">
        <v>300</v>
      </c>
      <c r="GF12" s="8">
        <f t="shared" si="64"/>
        <v>44.59</v>
      </c>
      <c r="GG12" s="528"/>
      <c r="GH12" s="8">
        <f t="shared" si="65"/>
        <v>0</v>
      </c>
      <c r="GI12" s="5">
        <v>46023</v>
      </c>
      <c r="GJ12" s="1"/>
      <c r="GK12" s="8"/>
      <c r="GL12" s="527"/>
      <c r="GM12" s="8"/>
    </row>
    <row r="13" spans="1:195" ht="22.15" customHeight="1" thickTop="1" thickBot="1" x14ac:dyDescent="0.3">
      <c r="A13" s="1056"/>
      <c r="B13" s="1044" t="s">
        <v>1</v>
      </c>
      <c r="C13" s="1045"/>
      <c r="D13" s="1046"/>
      <c r="E13" s="1018"/>
      <c r="F13" s="1018"/>
      <c r="G13" s="1018"/>
      <c r="H13" s="1018"/>
      <c r="I13" s="1019"/>
      <c r="J13" s="33"/>
      <c r="K13" s="1184" t="s">
        <v>746</v>
      </c>
      <c r="L13" s="1185"/>
      <c r="M13" s="626" t="str">
        <f>TEXT(DATE(CH2,3,1),"DD.MM.YYYY")</f>
        <v>01.03.2025</v>
      </c>
      <c r="N13" s="582"/>
      <c r="O13" s="603"/>
      <c r="P13" s="612"/>
      <c r="Q13" s="1154"/>
      <c r="R13" s="1155"/>
      <c r="S13" s="601"/>
      <c r="W13" s="33"/>
      <c r="X13" s="484">
        <f t="shared" ref="X13:Y13" si="71">DK11</f>
        <v>45931</v>
      </c>
      <c r="Y13" s="484">
        <f t="shared" si="71"/>
        <v>45961</v>
      </c>
      <c r="Z13" s="485" t="str">
        <f t="shared" si="50"/>
        <v/>
      </c>
      <c r="AA13" s="485">
        <f t="shared" si="51"/>
        <v>74770</v>
      </c>
      <c r="AB13" s="546">
        <f t="shared" ref="AB13:AC13" si="72">EP11</f>
        <v>0</v>
      </c>
      <c r="AC13" s="546">
        <f t="shared" si="72"/>
        <v>0</v>
      </c>
      <c r="AD13" s="424">
        <f t="shared" si="53"/>
        <v>0</v>
      </c>
      <c r="AE13" s="547"/>
      <c r="AF13" s="33"/>
      <c r="BF13" t="s">
        <v>1009</v>
      </c>
      <c r="BJ13" s="1">
        <v>10</v>
      </c>
      <c r="BK13" s="1">
        <f t="shared" si="0"/>
        <v>0</v>
      </c>
      <c r="BL13" s="1">
        <f t="shared" si="1"/>
        <v>0</v>
      </c>
      <c r="BM13" s="389">
        <f t="shared" si="2"/>
        <v>0</v>
      </c>
      <c r="BN13" s="1">
        <f ca="1">SUMIF($BL$4:$BL$15,BL13,$BO$4:$BO13)</f>
        <v>0</v>
      </c>
      <c r="BO13" s="420">
        <f t="shared" si="17"/>
        <v>0</v>
      </c>
      <c r="BP13" s="5" t="str">
        <f t="shared" si="40"/>
        <v/>
      </c>
      <c r="BQ13" s="5" t="str">
        <f t="shared" si="18"/>
        <v/>
      </c>
      <c r="BS13" s="390" t="str">
        <f t="shared" si="19"/>
        <v/>
      </c>
      <c r="BT13" s="5" t="str">
        <f t="shared" si="20"/>
        <v/>
      </c>
      <c r="BU13" s="1">
        <f>IFERROR(IF(COUNTIF($BT$4:BT13,BT13)&gt;1,0,INDEX($BM$4:$BM$17,MATCH(BT13,$BP$4:$BP$17,0),1)),0)</f>
        <v>0</v>
      </c>
      <c r="BW13" s="5" t="str">
        <f t="shared" si="3"/>
        <v/>
      </c>
      <c r="BX13" s="1">
        <f t="shared" si="41"/>
        <v>0</v>
      </c>
      <c r="BY13" s="5" t="str">
        <f>IFERROR(IF(BW13="","",EDATE(BY12,12)+BX13),"")</f>
        <v/>
      </c>
      <c r="CD13" s="4">
        <f t="shared" ref="CD13:CD22" si="73">EDATE(CD12,1)</f>
        <v>45778</v>
      </c>
      <c r="CE13" s="316">
        <f t="shared" si="68"/>
        <v>0</v>
      </c>
      <c r="CG13" s="4">
        <f t="shared" si="69"/>
        <v>45778</v>
      </c>
      <c r="CH13" s="4" t="str">
        <f t="shared" si="70"/>
        <v>May-2025</v>
      </c>
      <c r="CJ13" t="s">
        <v>598</v>
      </c>
      <c r="CN13">
        <v>10</v>
      </c>
      <c r="CP13" s="392">
        <v>25940</v>
      </c>
      <c r="CQ13" s="394" t="s">
        <v>560</v>
      </c>
      <c r="CR13">
        <v>28630</v>
      </c>
      <c r="CS13" s="230" t="s">
        <v>604</v>
      </c>
      <c r="CU13" t="s">
        <v>44</v>
      </c>
      <c r="CV13" t="str">
        <f t="shared" si="21"/>
        <v>Dec-2025</v>
      </c>
      <c r="CW13" s="5">
        <f t="shared" si="43"/>
        <v>45992</v>
      </c>
      <c r="CX13" s="5">
        <f t="shared" si="22"/>
        <v>46022</v>
      </c>
      <c r="CY13" s="4"/>
      <c r="DA13" t="s">
        <v>64</v>
      </c>
      <c r="DE13" s="1" t="str">
        <f t="shared" si="4"/>
        <v/>
      </c>
      <c r="DF13" s="4">
        <f t="shared" si="5"/>
        <v>45992</v>
      </c>
      <c r="DG13" t="str">
        <f t="shared" si="6"/>
        <v/>
      </c>
      <c r="DH13" s="4">
        <f t="shared" si="23"/>
        <v>46022</v>
      </c>
      <c r="DI13">
        <f>IFERROR(IF(AND($CS$3=2,DJ13="AGI",INDEX($DJ$4:$DJ$56,MATCH($DR$1,$DJ$4:DJ13,0),1)=$DR$1),2,0),0)</f>
        <v>0</v>
      </c>
      <c r="DJ13" s="1" t="str">
        <f>IFERROR(IF(AND(NOT($DE$51=""),DK13=$DE$51),$DG$51,IF(AND(NOT($DE$53=""),DK13=$DE$53),$DG$53,INDEX($DG$4:$DG$58,MATCH(DK13,$DF$4:$DF$58,0),1))),"")</f>
        <v/>
      </c>
      <c r="DK13" s="5">
        <f>IFERROR(IF(SMALL($DF$4:$DF$58,CN13)&gt;$CJ$2,"",SMALL($DF$4:$DF$58,CN13)),"")</f>
        <v>45992</v>
      </c>
      <c r="DL13" s="222">
        <f t="shared" si="26"/>
        <v>46022</v>
      </c>
      <c r="DM13" s="225">
        <f t="shared" si="44"/>
        <v>0</v>
      </c>
      <c r="DN13" s="11">
        <f t="shared" si="27"/>
        <v>74770</v>
      </c>
      <c r="DO13" s="11" t="str">
        <f t="shared" si="28"/>
        <v/>
      </c>
      <c r="DP13" s="233">
        <f t="shared" si="45"/>
        <v>74770</v>
      </c>
      <c r="DQ13" s="229" t="str">
        <f t="shared" si="7"/>
        <v/>
      </c>
      <c r="DS13" s="1">
        <f>IF(DQ13="",DM13,DQ13)</f>
        <v>0</v>
      </c>
      <c r="DT13" s="1">
        <f t="shared" si="30"/>
        <v>74770</v>
      </c>
      <c r="DV13" s="1" t="str">
        <f t="shared" si="8"/>
        <v/>
      </c>
      <c r="DW13" s="1" t="str">
        <f t="shared" si="31"/>
        <v>01-12-2025</v>
      </c>
      <c r="DX13" s="1" t="str">
        <f t="shared" si="32"/>
        <v>31-12-2025</v>
      </c>
      <c r="DY13" s="5">
        <f t="shared" si="46"/>
        <v>45992</v>
      </c>
      <c r="DZ13" s="5">
        <f t="shared" si="33"/>
        <v>46022</v>
      </c>
      <c r="EA13" s="1">
        <f t="shared" si="34"/>
        <v>31</v>
      </c>
      <c r="EB13" s="404">
        <f t="shared" si="47"/>
        <v>0</v>
      </c>
      <c r="EC13" s="421">
        <f t="shared" si="35"/>
        <v>31</v>
      </c>
      <c r="ED13" s="334">
        <f t="shared" si="36"/>
        <v>0</v>
      </c>
      <c r="EE13" s="18">
        <f t="shared" si="37"/>
        <v>0</v>
      </c>
      <c r="EF13" s="1">
        <f t="shared" si="48"/>
        <v>74770</v>
      </c>
      <c r="EG13" s="1">
        <f t="shared" si="9"/>
        <v>31</v>
      </c>
      <c r="EH13" s="1">
        <f t="shared" si="38"/>
        <v>31</v>
      </c>
      <c r="EI13" s="88"/>
      <c r="EJ13" t="str">
        <f t="shared" si="39"/>
        <v>Dec-2025</v>
      </c>
      <c r="EO13" s="301"/>
      <c r="EP13" s="1">
        <f t="shared" si="10"/>
        <v>0</v>
      </c>
      <c r="EQ13" s="1">
        <f t="shared" si="11"/>
        <v>0</v>
      </c>
      <c r="EU13" s="1">
        <f t="shared" si="12"/>
        <v>0</v>
      </c>
      <c r="EV13" s="1">
        <f t="shared" si="13"/>
        <v>0</v>
      </c>
      <c r="EZ13" s="1">
        <f t="shared" si="14"/>
        <v>0</v>
      </c>
      <c r="FA13" s="1">
        <f t="shared" si="15"/>
        <v>0</v>
      </c>
      <c r="FE13" s="8"/>
      <c r="FF13" s="8"/>
      <c r="FJ13" s="8"/>
      <c r="FK13" s="8"/>
      <c r="FY13" s="390">
        <v>44571</v>
      </c>
      <c r="FZ13" s="390">
        <v>700</v>
      </c>
      <c r="GA13" s="390">
        <v>450</v>
      </c>
      <c r="GB13" s="390">
        <v>350</v>
      </c>
      <c r="GF13" s="8">
        <f t="shared" si="64"/>
        <v>0</v>
      </c>
      <c r="GG13" s="528"/>
      <c r="GH13" s="8">
        <f t="shared" si="65"/>
        <v>0</v>
      </c>
      <c r="GI13" s="5">
        <v>46204</v>
      </c>
      <c r="GJ13" s="1"/>
      <c r="GK13" s="8"/>
      <c r="GL13" s="527"/>
      <c r="GM13" s="8"/>
    </row>
    <row r="14" spans="1:195" ht="30" customHeight="1" x14ac:dyDescent="0.25">
      <c r="A14" s="1056"/>
      <c r="B14" s="1044" t="s">
        <v>4</v>
      </c>
      <c r="C14" s="1045"/>
      <c r="D14" s="1046"/>
      <c r="E14" s="1018"/>
      <c r="F14" s="1018"/>
      <c r="G14" s="1018"/>
      <c r="H14" s="1018"/>
      <c r="I14" s="1019"/>
      <c r="J14" s="33"/>
      <c r="K14" s="1083" t="s">
        <v>745</v>
      </c>
      <c r="L14" s="1084"/>
      <c r="M14" s="719" t="str">
        <f>"Select Allowances as on "&amp;M13</f>
        <v>Select Allowances as on 01.03.2025</v>
      </c>
      <c r="N14" s="718" t="str">
        <f>IF(N13="","Enter date in above cell,if any allowance change.","Select below only changed Allowances as on above date")</f>
        <v>Enter date in above cell,if any allowance change.</v>
      </c>
      <c r="O14" s="1004" t="str">
        <f>IF(O13="","Enter date in above cell,if any Allow change again","Select below only changed Allow as on above date")</f>
        <v>Enter date in above cell,if any Allow change again</v>
      </c>
      <c r="P14" s="612"/>
      <c r="Q14" s="1175" t="s">
        <v>752</v>
      </c>
      <c r="R14" s="1175"/>
      <c r="S14" s="601"/>
      <c r="W14" s="33"/>
      <c r="X14" s="484">
        <f t="shared" ref="X14:Y14" si="74">DK12</f>
        <v>45962</v>
      </c>
      <c r="Y14" s="484">
        <f t="shared" si="74"/>
        <v>45991</v>
      </c>
      <c r="Z14" s="485" t="str">
        <f t="shared" si="50"/>
        <v/>
      </c>
      <c r="AA14" s="485">
        <f t="shared" si="51"/>
        <v>74770</v>
      </c>
      <c r="AB14" s="546">
        <f t="shared" ref="AB14:AC14" si="75">EP12</f>
        <v>0</v>
      </c>
      <c r="AC14" s="546">
        <f t="shared" si="75"/>
        <v>0</v>
      </c>
      <c r="AD14" s="424">
        <f t="shared" si="53"/>
        <v>0</v>
      </c>
      <c r="AE14" s="547"/>
      <c r="AF14" s="33"/>
      <c r="BF14" t="s">
        <v>131</v>
      </c>
      <c r="BJ14" s="1">
        <v>11</v>
      </c>
      <c r="BK14" s="1">
        <f t="shared" si="0"/>
        <v>0</v>
      </c>
      <c r="BL14" s="1">
        <f t="shared" si="1"/>
        <v>0</v>
      </c>
      <c r="BM14" s="389">
        <f t="shared" si="2"/>
        <v>0</v>
      </c>
      <c r="BN14" s="1">
        <f ca="1">SUMIF($BL$4:$BL$15,BL14,$BO$4:$BO14)</f>
        <v>0</v>
      </c>
      <c r="BO14" s="420">
        <f t="shared" si="17"/>
        <v>0</v>
      </c>
      <c r="BP14" s="5" t="str">
        <f t="shared" si="40"/>
        <v/>
      </c>
      <c r="BQ14" s="5" t="str">
        <f t="shared" si="18"/>
        <v/>
      </c>
      <c r="BS14" s="390" t="str">
        <f t="shared" si="19"/>
        <v/>
      </c>
      <c r="BT14" s="5" t="str">
        <f t="shared" si="20"/>
        <v/>
      </c>
      <c r="BU14" s="1">
        <f>IFERROR(IF(COUNTIF($BT$4:BT14,BT14)&gt;1,0,INDEX($BM$4:$BM$17,MATCH(BT14,$BP$4:$BP$17,0),1)),0)</f>
        <v>0</v>
      </c>
      <c r="BW14" s="5" t="str">
        <f t="shared" si="3"/>
        <v/>
      </c>
      <c r="BX14" s="1">
        <f t="shared" si="41"/>
        <v>0</v>
      </c>
      <c r="BY14" s="5" t="str">
        <f t="shared" si="42"/>
        <v/>
      </c>
      <c r="CD14" s="4">
        <f t="shared" si="73"/>
        <v>45809</v>
      </c>
      <c r="CE14" s="316">
        <f t="shared" si="68"/>
        <v>0</v>
      </c>
      <c r="CG14" s="4">
        <f t="shared" si="69"/>
        <v>45809</v>
      </c>
      <c r="CH14" s="4" t="str">
        <f t="shared" si="70"/>
        <v>Jun-2025</v>
      </c>
      <c r="CJ14" t="s">
        <v>594</v>
      </c>
      <c r="CN14">
        <v>11</v>
      </c>
      <c r="CP14" s="392">
        <v>26720</v>
      </c>
      <c r="CQ14" s="394" t="s">
        <v>561</v>
      </c>
      <c r="CR14">
        <v>31040</v>
      </c>
      <c r="CS14" s="230" t="s">
        <v>605</v>
      </c>
      <c r="CU14" t="s">
        <v>45</v>
      </c>
      <c r="CV14" t="str">
        <f t="shared" si="21"/>
        <v>Jan-2026</v>
      </c>
      <c r="CW14" s="5">
        <f t="shared" si="43"/>
        <v>46023</v>
      </c>
      <c r="CX14" s="5">
        <f t="shared" si="22"/>
        <v>46053</v>
      </c>
      <c r="CY14" s="4"/>
      <c r="DA14" s="6" t="s">
        <v>61</v>
      </c>
      <c r="DB14" t="s">
        <v>29</v>
      </c>
      <c r="DC14" t="s">
        <v>30</v>
      </c>
      <c r="DE14" s="1" t="str">
        <f t="shared" si="4"/>
        <v/>
      </c>
      <c r="DF14" s="4">
        <f t="shared" si="5"/>
        <v>46023</v>
      </c>
      <c r="DG14" t="str">
        <f t="shared" si="6"/>
        <v/>
      </c>
      <c r="DH14" s="4">
        <f t="shared" si="23"/>
        <v>46053</v>
      </c>
      <c r="DI14">
        <f>IFERROR(IF(AND($CS$3=2,DJ14="AGI",INDEX($DJ$4:$DJ$56,MATCH($DR$1,$DJ$4:DJ14,0),1)=$DR$1),2,0),0)</f>
        <v>0</v>
      </c>
      <c r="DJ14" s="1" t="str">
        <f>IFERROR(IF(AND(NOT($DE$51=""),DK14=$DE$51),$DG$51,IF(AND(NOT($DE$53=""),DK14=$DE$53),$DG$53,INDEX($DG$4:$DG$58,MATCH(DK14,$DF$4:$DF$58,0),1))),"")</f>
        <v/>
      </c>
      <c r="DK14" s="5">
        <f t="shared" si="25"/>
        <v>46023</v>
      </c>
      <c r="DL14" s="222">
        <f t="shared" si="26"/>
        <v>46053</v>
      </c>
      <c r="DM14" s="225">
        <f t="shared" si="44"/>
        <v>0</v>
      </c>
      <c r="DN14" s="11">
        <f t="shared" si="27"/>
        <v>74770</v>
      </c>
      <c r="DO14" s="11" t="str">
        <f t="shared" si="28"/>
        <v/>
      </c>
      <c r="DP14" s="233">
        <f t="shared" si="45"/>
        <v>74770</v>
      </c>
      <c r="DQ14" s="229" t="str">
        <f t="shared" si="7"/>
        <v/>
      </c>
      <c r="DS14" s="1">
        <f t="shared" si="29"/>
        <v>0</v>
      </c>
      <c r="DT14" s="1">
        <f t="shared" si="30"/>
        <v>74770</v>
      </c>
      <c r="DV14" s="1" t="str">
        <f t="shared" si="8"/>
        <v/>
      </c>
      <c r="DW14" s="1" t="str">
        <f t="shared" si="31"/>
        <v>01-01-2026</v>
      </c>
      <c r="DX14" s="1" t="str">
        <f t="shared" si="32"/>
        <v>31-01-2026</v>
      </c>
      <c r="DY14" s="5">
        <f t="shared" si="46"/>
        <v>46023</v>
      </c>
      <c r="DZ14" s="5">
        <f t="shared" si="33"/>
        <v>46053</v>
      </c>
      <c r="EA14" s="1">
        <f t="shared" si="34"/>
        <v>31</v>
      </c>
      <c r="EB14" s="404">
        <f t="shared" si="47"/>
        <v>0</v>
      </c>
      <c r="EC14" s="421">
        <f t="shared" si="35"/>
        <v>31</v>
      </c>
      <c r="ED14">
        <f t="shared" si="36"/>
        <v>0</v>
      </c>
      <c r="EE14" s="18">
        <f t="shared" si="37"/>
        <v>0</v>
      </c>
      <c r="EF14" s="1">
        <f t="shared" si="48"/>
        <v>74770</v>
      </c>
      <c r="EG14" s="1">
        <f t="shared" si="9"/>
        <v>31</v>
      </c>
      <c r="EH14" s="1">
        <f t="shared" si="38"/>
        <v>31</v>
      </c>
      <c r="EI14" s="88"/>
      <c r="EJ14" t="str">
        <f t="shared" si="39"/>
        <v>Jan-2026</v>
      </c>
      <c r="EO14" s="301"/>
      <c r="EP14" s="1">
        <f t="shared" si="10"/>
        <v>0</v>
      </c>
      <c r="EQ14" s="1">
        <f t="shared" si="11"/>
        <v>0</v>
      </c>
      <c r="EU14" s="1">
        <f t="shared" si="12"/>
        <v>0</v>
      </c>
      <c r="EV14" s="1">
        <f t="shared" si="13"/>
        <v>0</v>
      </c>
      <c r="EZ14" s="1">
        <f t="shared" si="14"/>
        <v>0</v>
      </c>
      <c r="FA14" s="1">
        <f t="shared" si="15"/>
        <v>0</v>
      </c>
      <c r="FE14" s="8"/>
      <c r="FF14" s="8"/>
      <c r="FJ14" s="8"/>
      <c r="FK14" s="8"/>
      <c r="FY14" s="390">
        <v>57101</v>
      </c>
      <c r="FZ14" s="390">
        <v>1000</v>
      </c>
      <c r="GA14" s="390">
        <v>700</v>
      </c>
      <c r="GB14" s="390">
        <v>500</v>
      </c>
    </row>
    <row r="15" spans="1:195" ht="22.15" customHeight="1" x14ac:dyDescent="0.25">
      <c r="A15" s="1056"/>
      <c r="B15" s="540" t="s">
        <v>3</v>
      </c>
      <c r="C15" s="1603" t="s">
        <v>637</v>
      </c>
      <c r="D15" s="541" t="s">
        <v>2</v>
      </c>
      <c r="E15" s="1022"/>
      <c r="F15" s="1022"/>
      <c r="G15" s="1022"/>
      <c r="H15" s="1022"/>
      <c r="I15" s="1019"/>
      <c r="J15" s="33"/>
      <c r="K15" s="1182" t="s">
        <v>67</v>
      </c>
      <c r="L15" s="1183"/>
      <c r="M15" s="539">
        <v>10</v>
      </c>
      <c r="N15" s="539">
        <v>12</v>
      </c>
      <c r="O15" s="624" t="s">
        <v>1047</v>
      </c>
      <c r="P15" s="612"/>
      <c r="Q15" s="1176"/>
      <c r="R15" s="1176"/>
      <c r="S15" s="601"/>
      <c r="W15" s="33"/>
      <c r="X15" s="484">
        <f t="shared" ref="X15:Y15" si="76">DK13</f>
        <v>45992</v>
      </c>
      <c r="Y15" s="484">
        <f t="shared" si="76"/>
        <v>46022</v>
      </c>
      <c r="Z15" s="485" t="str">
        <f t="shared" si="50"/>
        <v/>
      </c>
      <c r="AA15" s="485">
        <f t="shared" si="51"/>
        <v>74770</v>
      </c>
      <c r="AB15" s="546">
        <f t="shared" ref="AB15:AC15" si="77">EP13</f>
        <v>0</v>
      </c>
      <c r="AC15" s="546">
        <f t="shared" si="77"/>
        <v>0</v>
      </c>
      <c r="AD15" s="424">
        <f t="shared" si="53"/>
        <v>0</v>
      </c>
      <c r="AE15" s="547"/>
      <c r="AF15" s="33"/>
      <c r="BJ15" s="1">
        <v>12</v>
      </c>
      <c r="BK15" s="1">
        <f t="shared" si="0"/>
        <v>0</v>
      </c>
      <c r="BL15" s="1">
        <f t="shared" si="1"/>
        <v>0</v>
      </c>
      <c r="BM15" s="389">
        <f t="shared" si="2"/>
        <v>0</v>
      </c>
      <c r="BN15" s="1">
        <f>SUMIF($BL$4:$BL$15,BL15,$BO$4:$BO15)</f>
        <v>0</v>
      </c>
      <c r="BO15" s="420">
        <f t="shared" si="17"/>
        <v>0</v>
      </c>
      <c r="BP15" s="5" t="str">
        <f t="shared" si="40"/>
        <v/>
      </c>
      <c r="BQ15" s="5" t="str">
        <f t="shared" si="18"/>
        <v/>
      </c>
      <c r="BS15" s="390" t="str">
        <f t="shared" si="19"/>
        <v/>
      </c>
      <c r="BT15" s="5" t="str">
        <f t="shared" si="20"/>
        <v/>
      </c>
      <c r="BU15" s="1">
        <f>IFERROR(IF(COUNTIF($BT$4:BT15,BT15)&gt;1,0,INDEX($BM$4:$BM$17,MATCH(BT15,$BP$4:$BP$17,0),1)),0)</f>
        <v>0</v>
      </c>
      <c r="BW15" s="5" t="str">
        <f t="shared" si="3"/>
        <v/>
      </c>
      <c r="BX15" s="1">
        <f t="shared" si="41"/>
        <v>0</v>
      </c>
      <c r="BY15" s="5" t="str">
        <f t="shared" si="42"/>
        <v/>
      </c>
      <c r="CD15" s="4">
        <f t="shared" si="73"/>
        <v>45839</v>
      </c>
      <c r="CE15" s="316">
        <f t="shared" si="68"/>
        <v>0</v>
      </c>
      <c r="CG15" s="4">
        <f t="shared" si="69"/>
        <v>45839</v>
      </c>
      <c r="CH15" s="4" t="str">
        <f t="shared" si="70"/>
        <v>Jul-2025</v>
      </c>
      <c r="CJ15" t="s">
        <v>595</v>
      </c>
      <c r="CN15">
        <v>12</v>
      </c>
      <c r="CP15" s="392">
        <v>27500</v>
      </c>
      <c r="CQ15" s="394" t="s">
        <v>562</v>
      </c>
      <c r="CR15">
        <v>32810</v>
      </c>
      <c r="CS15" s="526" t="s">
        <v>606</v>
      </c>
      <c r="CU15" t="s">
        <v>46</v>
      </c>
      <c r="CV15" t="str">
        <f t="shared" si="21"/>
        <v>Feb-2026</v>
      </c>
      <c r="CW15" s="5">
        <f t="shared" si="43"/>
        <v>46054</v>
      </c>
      <c r="CX15" s="5">
        <f t="shared" si="22"/>
        <v>46081</v>
      </c>
      <c r="CY15" s="4"/>
      <c r="DA15" s="5">
        <f>IF(DA7="","",IF(AND($DB$5=2,$DC$5=1),DA7,IF(AND($DB$5=2,$DC$5=2,DA7&lt;$DC$7),DA7,IF(AND($DB$5=1,DA7&lt;$DB$7),DA7,""))))</f>
        <v>45047</v>
      </c>
      <c r="DB15" s="5" t="str">
        <f>IF(AND($DC$5=1,$DB$5=1),DB7,IF(AND($DB$5=1,$DC$5=2,DB7&lt;$DC$7),DB7,""))</f>
        <v/>
      </c>
      <c r="DC15" s="5" t="str">
        <f>IF($DC$5=2,DC7,"")</f>
        <v/>
      </c>
      <c r="DD15" s="4"/>
      <c r="DE15" s="1" t="str">
        <f>IFERROR(MATCH(DF15,$DB$23:$DB$37,0),"")</f>
        <v/>
      </c>
      <c r="DF15" s="4">
        <f>CW15</f>
        <v>46054</v>
      </c>
      <c r="DG15" t="str">
        <f t="shared" si="6"/>
        <v/>
      </c>
      <c r="DH15" s="4">
        <f t="shared" si="23"/>
        <v>46081</v>
      </c>
      <c r="DI15">
        <f>IFERROR(IF(AND($CS$3=2,DJ15="AGI",INDEX($DJ$4:$DJ$56,MATCH($DR$1,$DJ$4:DJ15,0),1)=$DR$1),2,0),0)</f>
        <v>0</v>
      </c>
      <c r="DJ15" s="1" t="str">
        <f t="shared" si="24"/>
        <v/>
      </c>
      <c r="DK15" s="5">
        <f t="shared" si="25"/>
        <v>46054</v>
      </c>
      <c r="DL15" s="222">
        <f t="shared" si="26"/>
        <v>46081</v>
      </c>
      <c r="DM15" s="225">
        <f t="shared" si="44"/>
        <v>0</v>
      </c>
      <c r="DN15" s="11">
        <f t="shared" si="27"/>
        <v>74770</v>
      </c>
      <c r="DO15" s="11" t="str">
        <f t="shared" si="28"/>
        <v/>
      </c>
      <c r="DP15" s="233">
        <f t="shared" si="45"/>
        <v>74770</v>
      </c>
      <c r="DQ15" s="229" t="str">
        <f t="shared" si="7"/>
        <v/>
      </c>
      <c r="DS15" s="1">
        <f t="shared" si="29"/>
        <v>0</v>
      </c>
      <c r="DT15" s="1">
        <f t="shared" si="30"/>
        <v>74770</v>
      </c>
      <c r="DV15" s="1" t="str">
        <f t="shared" si="8"/>
        <v/>
      </c>
      <c r="DW15" s="1" t="str">
        <f t="shared" si="31"/>
        <v>01-02-2026</v>
      </c>
      <c r="DX15" s="1" t="str">
        <f t="shared" si="32"/>
        <v>28-02-2026</v>
      </c>
      <c r="DY15" s="5">
        <f t="shared" si="46"/>
        <v>46054</v>
      </c>
      <c r="DZ15" s="5">
        <f t="shared" si="33"/>
        <v>46081</v>
      </c>
      <c r="EA15" s="1">
        <f t="shared" si="34"/>
        <v>28</v>
      </c>
      <c r="EB15" s="404">
        <f t="shared" si="47"/>
        <v>0</v>
      </c>
      <c r="EC15" s="421">
        <f t="shared" si="35"/>
        <v>28</v>
      </c>
      <c r="ED15">
        <f t="shared" si="36"/>
        <v>0</v>
      </c>
      <c r="EE15" s="18">
        <f t="shared" si="37"/>
        <v>0</v>
      </c>
      <c r="EF15" s="1">
        <f t="shared" si="48"/>
        <v>74770</v>
      </c>
      <c r="EG15" s="1">
        <f t="shared" si="9"/>
        <v>28</v>
      </c>
      <c r="EH15" s="1">
        <f t="shared" si="38"/>
        <v>28</v>
      </c>
      <c r="EI15" s="88"/>
      <c r="EJ15" t="str">
        <f t="shared" si="39"/>
        <v>Feb-2026</v>
      </c>
      <c r="EO15" s="301"/>
      <c r="EP15" s="1">
        <f t="shared" si="10"/>
        <v>0</v>
      </c>
      <c r="EQ15" s="1">
        <f t="shared" si="11"/>
        <v>0</v>
      </c>
      <c r="EU15" s="1">
        <f t="shared" si="12"/>
        <v>0</v>
      </c>
      <c r="EV15" s="1">
        <f t="shared" si="13"/>
        <v>0</v>
      </c>
      <c r="EZ15" s="1">
        <f t="shared" si="14"/>
        <v>0</v>
      </c>
      <c r="FA15" s="1">
        <f t="shared" si="15"/>
        <v>0</v>
      </c>
      <c r="FE15" s="8"/>
      <c r="FF15" s="8"/>
      <c r="FJ15" s="8"/>
      <c r="FK15" s="8"/>
      <c r="FY15" s="390" t="s">
        <v>86</v>
      </c>
      <c r="FZ15" s="390">
        <v>20000</v>
      </c>
      <c r="GA15" s="390">
        <v>15000</v>
      </c>
      <c r="GB15" s="390">
        <v>15000</v>
      </c>
    </row>
    <row r="16" spans="1:195" ht="18.399999999999999" customHeight="1" x14ac:dyDescent="0.25">
      <c r="A16" s="1057" t="s">
        <v>20</v>
      </c>
      <c r="B16" s="1020" t="s">
        <v>1043</v>
      </c>
      <c r="C16" s="1020"/>
      <c r="D16" s="1020"/>
      <c r="E16" s="1020"/>
      <c r="F16" s="1020"/>
      <c r="G16" s="1020"/>
      <c r="H16" s="1021"/>
      <c r="I16" s="550" t="s">
        <v>118</v>
      </c>
      <c r="J16" s="33"/>
      <c r="K16" s="1035" t="s">
        <v>82</v>
      </c>
      <c r="L16" s="1036"/>
      <c r="M16" s="539" t="s">
        <v>486</v>
      </c>
      <c r="N16" s="275" t="s">
        <v>1118</v>
      </c>
      <c r="O16" s="604" t="s">
        <v>486</v>
      </c>
      <c r="P16" s="612"/>
      <c r="Q16" s="1170" t="s">
        <v>704</v>
      </c>
      <c r="R16" s="1171"/>
      <c r="S16" s="601"/>
      <c r="W16" s="33"/>
      <c r="X16" s="484">
        <f t="shared" ref="X16:Y25" si="78">DK14</f>
        <v>46023</v>
      </c>
      <c r="Y16" s="484">
        <f t="shared" si="78"/>
        <v>46053</v>
      </c>
      <c r="Z16" s="485" t="str">
        <f t="shared" si="50"/>
        <v/>
      </c>
      <c r="AA16" s="485">
        <f t="shared" si="51"/>
        <v>74770</v>
      </c>
      <c r="AB16" s="546">
        <f t="shared" ref="AB16:AC25" si="79">EP14</f>
        <v>0</v>
      </c>
      <c r="AC16" s="546">
        <f t="shared" si="79"/>
        <v>0</v>
      </c>
      <c r="AD16" s="424">
        <f t="shared" si="53"/>
        <v>0</v>
      </c>
      <c r="AE16" s="547"/>
      <c r="AF16" s="33"/>
      <c r="BW16" s="5" t="str">
        <f t="shared" si="3"/>
        <v/>
      </c>
      <c r="BX16" s="1">
        <f t="shared" si="41"/>
        <v>0</v>
      </c>
      <c r="BY16" s="5" t="str">
        <f t="shared" si="42"/>
        <v/>
      </c>
      <c r="CD16" s="4">
        <f t="shared" si="73"/>
        <v>45870</v>
      </c>
      <c r="CE16" s="316">
        <f t="shared" si="68"/>
        <v>0</v>
      </c>
      <c r="CG16" s="4">
        <f t="shared" si="69"/>
        <v>45870</v>
      </c>
      <c r="CH16" s="4" t="str">
        <f t="shared" si="70"/>
        <v>Aug-2025</v>
      </c>
      <c r="CJ16" t="s">
        <v>626</v>
      </c>
      <c r="CN16">
        <v>13</v>
      </c>
      <c r="CP16" s="392">
        <v>28280</v>
      </c>
      <c r="CQ16" s="394" t="s">
        <v>563</v>
      </c>
      <c r="CR16">
        <v>33750</v>
      </c>
      <c r="CS16" s="230" t="s">
        <v>47</v>
      </c>
      <c r="CV16" t="str">
        <f t="shared" si="21"/>
        <v>Mar-2026</v>
      </c>
      <c r="CW16" s="5">
        <f t="shared" si="43"/>
        <v>46082</v>
      </c>
      <c r="CX16" s="5">
        <f t="shared" si="22"/>
        <v>46112</v>
      </c>
      <c r="CY16" s="4"/>
      <c r="DA16" s="5">
        <f>IF(DA8="","",IF(AND($DB$5=2,$DC$5=1),DA8,IF(AND($DB$5=2,$DC$5=2,DA8&lt;$DC$7),DA8,IF(AND($DB$5=1,DA8&lt;$DB$7),DA8,""))))</f>
        <v>45413</v>
      </c>
      <c r="DB16" s="5" t="str">
        <f>IF(AND($DC$5=1,$DB$5=1),DB8,IF(AND($DB$5=1,$DC$5=2,DB8&lt;$DC$7),DB8,""))</f>
        <v/>
      </c>
      <c r="DC16" s="5" t="str">
        <f>IF($DC$5=2,DC8,"")</f>
        <v/>
      </c>
      <c r="DD16" s="4"/>
      <c r="DE16" s="1" t="str">
        <f t="shared" si="4"/>
        <v/>
      </c>
      <c r="DF16" s="4">
        <f t="shared" si="5"/>
        <v>46082</v>
      </c>
      <c r="DG16" t="str">
        <f t="shared" si="6"/>
        <v/>
      </c>
      <c r="DH16" s="4">
        <f t="shared" si="23"/>
        <v>46112</v>
      </c>
      <c r="DI16">
        <f>IFERROR(IF(AND($CS$3=2,DJ16="AGI",INDEX($DJ$4:$DJ$56,MATCH($DR$1,$DJ$4:DJ16,0),1)=$DR$1),2,0),0)</f>
        <v>0</v>
      </c>
      <c r="DJ16" s="1" t="str">
        <f t="shared" si="24"/>
        <v/>
      </c>
      <c r="DK16" s="5" t="str">
        <f t="shared" si="25"/>
        <v/>
      </c>
      <c r="DL16" s="222" t="str">
        <f t="shared" si="26"/>
        <v/>
      </c>
      <c r="DM16" s="225">
        <f t="shared" si="44"/>
        <v>0</v>
      </c>
      <c r="DN16" s="11">
        <f t="shared" si="27"/>
        <v>74770</v>
      </c>
      <c r="DO16" s="11" t="str">
        <f t="shared" si="28"/>
        <v/>
      </c>
      <c r="DP16" s="233">
        <f t="shared" si="45"/>
        <v>74770</v>
      </c>
      <c r="DQ16" s="229" t="str">
        <f t="shared" si="7"/>
        <v/>
      </c>
      <c r="DS16" s="1">
        <f t="shared" si="29"/>
        <v>0</v>
      </c>
      <c r="DT16" s="1">
        <f t="shared" si="30"/>
        <v>74770</v>
      </c>
      <c r="DV16" s="1" t="str">
        <f t="shared" si="8"/>
        <v/>
      </c>
      <c r="DW16" s="1" t="str">
        <f t="shared" si="31"/>
        <v/>
      </c>
      <c r="DX16" s="1" t="str">
        <f t="shared" si="32"/>
        <v/>
      </c>
      <c r="DY16" s="5" t="str">
        <f t="shared" si="46"/>
        <v/>
      </c>
      <c r="DZ16" s="5" t="str">
        <f>IF(DX16="","",DATE(YEAR(DL16),MONTH(DL16),DAY(DL16)))</f>
        <v/>
      </c>
      <c r="EA16" s="1" t="str">
        <f t="shared" si="34"/>
        <v/>
      </c>
      <c r="EB16" s="404">
        <f t="shared" si="47"/>
        <v>0</v>
      </c>
      <c r="EC16" s="421" t="str">
        <f t="shared" si="35"/>
        <v/>
      </c>
      <c r="ED16">
        <f t="shared" si="36"/>
        <v>0</v>
      </c>
      <c r="EE16" s="18">
        <f t="shared" si="37"/>
        <v>0</v>
      </c>
      <c r="EF16" s="1" t="str">
        <f t="shared" si="48"/>
        <v/>
      </c>
      <c r="EG16" s="1" t="str">
        <f t="shared" si="9"/>
        <v/>
      </c>
      <c r="EH16" s="1" t="str">
        <f t="shared" si="38"/>
        <v/>
      </c>
      <c r="EI16" s="88"/>
      <c r="EJ16" t="str">
        <f t="shared" si="39"/>
        <v/>
      </c>
      <c r="EM16" s="396"/>
      <c r="EO16" s="301"/>
      <c r="EP16" s="1">
        <f t="shared" si="10"/>
        <v>0</v>
      </c>
      <c r="EQ16" s="1">
        <f t="shared" si="11"/>
        <v>0</v>
      </c>
      <c r="EU16" s="1">
        <f t="shared" si="12"/>
        <v>0</v>
      </c>
      <c r="EV16" s="1">
        <f t="shared" si="13"/>
        <v>0</v>
      </c>
      <c r="EZ16" s="1">
        <f t="shared" si="14"/>
        <v>0</v>
      </c>
      <c r="FA16" s="1">
        <f t="shared" si="15"/>
        <v>0</v>
      </c>
      <c r="FE16" s="8"/>
      <c r="FF16" s="8"/>
      <c r="FJ16" s="8"/>
      <c r="FK16" s="8"/>
      <c r="FY16" s="22" t="s">
        <v>721</v>
      </c>
      <c r="FZ16" s="22" t="s">
        <v>722</v>
      </c>
    </row>
    <row r="17" spans="1:194" ht="24" customHeight="1" x14ac:dyDescent="0.25">
      <c r="A17" s="1058"/>
      <c r="B17" s="1190" t="s">
        <v>21</v>
      </c>
      <c r="C17" s="1191"/>
      <c r="D17" s="1191"/>
      <c r="E17" s="1191"/>
      <c r="F17" s="1191"/>
      <c r="G17" s="1191"/>
      <c r="H17" s="1192"/>
      <c r="I17" s="516"/>
      <c r="J17" s="33"/>
      <c r="K17" s="1035" t="s">
        <v>84</v>
      </c>
      <c r="L17" s="1036"/>
      <c r="M17" s="539" t="s">
        <v>486</v>
      </c>
      <c r="N17" s="275" t="s">
        <v>486</v>
      </c>
      <c r="O17" s="604" t="s">
        <v>486</v>
      </c>
      <c r="P17" s="612"/>
      <c r="Q17" s="1172"/>
      <c r="R17" s="1173"/>
      <c r="S17" s="601"/>
      <c r="W17" s="33"/>
      <c r="X17" s="484">
        <f t="shared" si="78"/>
        <v>46054</v>
      </c>
      <c r="Y17" s="484">
        <f t="shared" si="78"/>
        <v>46081</v>
      </c>
      <c r="Z17" s="485" t="str">
        <f t="shared" ref="Z17:Z29" si="80">DJ15</f>
        <v/>
      </c>
      <c r="AA17" s="485">
        <f t="shared" ref="AA17:AA29" si="81">EF15</f>
        <v>74770</v>
      </c>
      <c r="AB17" s="546">
        <f t="shared" si="79"/>
        <v>0</v>
      </c>
      <c r="AC17" s="546">
        <f t="shared" si="79"/>
        <v>0</v>
      </c>
      <c r="AD17" s="424">
        <f t="shared" si="53"/>
        <v>0</v>
      </c>
      <c r="AE17" s="547"/>
      <c r="AF17" s="33"/>
      <c r="BW17" s="5" t="str">
        <f>DC36</f>
        <v/>
      </c>
      <c r="BX17" s="1">
        <f t="shared" si="41"/>
        <v>0</v>
      </c>
      <c r="BY17" s="5" t="str">
        <f t="shared" si="42"/>
        <v/>
      </c>
      <c r="CD17" s="4">
        <f t="shared" si="73"/>
        <v>45901</v>
      </c>
      <c r="CE17" s="316">
        <f t="shared" si="68"/>
        <v>0</v>
      </c>
      <c r="CG17" s="4">
        <f t="shared" si="69"/>
        <v>45901</v>
      </c>
      <c r="CH17" s="4" t="str">
        <f t="shared" si="70"/>
        <v>Sep-2025</v>
      </c>
      <c r="CM17" t="str">
        <f>INDEX($CU$4:$CU$15,CV1,0)</f>
        <v>Mar</v>
      </c>
      <c r="CN17">
        <v>14</v>
      </c>
      <c r="CP17" s="392">
        <v>29130</v>
      </c>
      <c r="CQ17" s="394" t="s">
        <v>564</v>
      </c>
      <c r="CR17">
        <v>35720</v>
      </c>
      <c r="CS17" s="629">
        <v>15</v>
      </c>
      <c r="CV17" t="str">
        <f t="shared" si="21"/>
        <v>Apr-2026</v>
      </c>
      <c r="CW17" s="5">
        <f t="shared" si="43"/>
        <v>46113</v>
      </c>
      <c r="CX17" s="5">
        <f t="shared" si="22"/>
        <v>46142</v>
      </c>
      <c r="CY17" s="4"/>
      <c r="DA17" s="5">
        <f>IF(DA9="","",IF(AND($DB$5=2,$DC$5=1),DA9,IF(AND($DB$5=2,$DC$5=2,DA9&lt;$DC$7),DA9,IF(AND($DB$5=1,DA9&lt;$DB$7),DA9,""))))</f>
        <v>45778</v>
      </c>
      <c r="DB17" s="5" t="str">
        <f>IF(AND($DC$5=1,$DB$5=1),DB9,IF(AND($DB$5=1,$DC$5=2,DB9&lt;$DC$7),DB9,""))</f>
        <v/>
      </c>
      <c r="DC17" s="5" t="str">
        <f>IF($DC$5=2,DC9,"")</f>
        <v/>
      </c>
      <c r="DD17" s="4"/>
      <c r="DE17" s="1" t="str">
        <f t="shared" si="4"/>
        <v/>
      </c>
      <c r="DF17" s="4">
        <f t="shared" si="5"/>
        <v>46113</v>
      </c>
      <c r="DG17" t="str">
        <f t="shared" si="6"/>
        <v/>
      </c>
      <c r="DH17" s="4">
        <f t="shared" si="23"/>
        <v>46142</v>
      </c>
      <c r="DI17">
        <f>IFERROR(IF(AND($CS$3=2,DJ17="AGI",INDEX($DJ$4:$DJ$56,MATCH($DR$1,$DJ$4:DJ17,0),1)=$DR$1),2,0),0)</f>
        <v>0</v>
      </c>
      <c r="DJ17" s="1" t="str">
        <f t="shared" si="24"/>
        <v/>
      </c>
      <c r="DK17" s="5" t="str">
        <f>IFERROR(IF(SMALL($DF$4:$DF$58,CN17)&gt;$CJ$2,"",SMALL($DF$4:$DF$58,CN17)),"")</f>
        <v/>
      </c>
      <c r="DL17" s="222" t="str">
        <f t="shared" si="26"/>
        <v/>
      </c>
      <c r="DM17" s="225">
        <f t="shared" si="44"/>
        <v>0</v>
      </c>
      <c r="DN17" s="11">
        <f t="shared" si="27"/>
        <v>74770</v>
      </c>
      <c r="DO17" s="11" t="str">
        <f t="shared" si="28"/>
        <v/>
      </c>
      <c r="DP17" s="233">
        <f t="shared" si="45"/>
        <v>74770</v>
      </c>
      <c r="DQ17" s="229" t="str">
        <f t="shared" si="7"/>
        <v/>
      </c>
      <c r="DS17" s="1">
        <f t="shared" si="29"/>
        <v>0</v>
      </c>
      <c r="DT17" s="1">
        <f t="shared" si="30"/>
        <v>74770</v>
      </c>
      <c r="DV17" s="1" t="str">
        <f t="shared" si="8"/>
        <v/>
      </c>
      <c r="DW17" s="1" t="str">
        <f t="shared" si="31"/>
        <v/>
      </c>
      <c r="DX17" s="1" t="str">
        <f t="shared" si="32"/>
        <v/>
      </c>
      <c r="DY17" s="5" t="str">
        <f>IF(DW17="","",DATE(YEAR(DK17),MONTH(DK17),DAY(DK17)))</f>
        <v/>
      </c>
      <c r="DZ17" s="5" t="str">
        <f t="shared" si="33"/>
        <v/>
      </c>
      <c r="EA17" s="1" t="str">
        <f>IFERROR(SUM(DZ17-DY17,0)+1,"")</f>
        <v/>
      </c>
      <c r="EB17" s="404">
        <f>IFERROR(INDEX($BN$4:$BN$17,MATCH(DW17,$BL$4:$BL$17,0),1),0)</f>
        <v>0</v>
      </c>
      <c r="EC17" s="421" t="str">
        <f>IFERROR(IF(EB17=0,EA17,MAX(IF(EB17=0.5,EA17/2,EA17+EB17),0)),"")</f>
        <v/>
      </c>
      <c r="ED17">
        <f t="shared" si="36"/>
        <v>0</v>
      </c>
      <c r="EE17" s="18">
        <f t="shared" si="37"/>
        <v>0</v>
      </c>
      <c r="EF17" s="1" t="str">
        <f t="shared" si="48"/>
        <v/>
      </c>
      <c r="EG17" s="1" t="str">
        <f t="shared" si="9"/>
        <v/>
      </c>
      <c r="EH17" s="1" t="str">
        <f t="shared" si="38"/>
        <v/>
      </c>
      <c r="EI17" s="88"/>
      <c r="EJ17" t="str">
        <f t="shared" si="39"/>
        <v/>
      </c>
      <c r="EM17" s="396"/>
      <c r="EO17" s="301"/>
      <c r="EP17" s="1">
        <f t="shared" si="10"/>
        <v>0</v>
      </c>
      <c r="EQ17" s="1">
        <f t="shared" si="11"/>
        <v>0</v>
      </c>
      <c r="EU17" s="1">
        <f t="shared" si="12"/>
        <v>0</v>
      </c>
      <c r="EV17" s="1">
        <f t="shared" si="13"/>
        <v>0</v>
      </c>
      <c r="EZ17" s="1">
        <f t="shared" si="14"/>
        <v>0</v>
      </c>
      <c r="FA17" s="1">
        <f t="shared" si="15"/>
        <v>0</v>
      </c>
      <c r="FE17" s="8"/>
      <c r="FF17" s="8"/>
      <c r="FJ17" s="8"/>
      <c r="FK17" s="8"/>
      <c r="FY17" s="1" t="s">
        <v>486</v>
      </c>
      <c r="FZ17" s="1" t="s">
        <v>87</v>
      </c>
      <c r="GA17" s="1" t="s">
        <v>88</v>
      </c>
      <c r="GB17" s="1" t="s">
        <v>89</v>
      </c>
    </row>
    <row r="18" spans="1:194" ht="24" customHeight="1" thickBot="1" x14ac:dyDescent="0.3">
      <c r="A18" s="1058"/>
      <c r="B18" s="1201" t="s">
        <v>1071</v>
      </c>
      <c r="C18" s="1202"/>
      <c r="D18" s="1202"/>
      <c r="E18" s="952"/>
      <c r="F18" s="1202" t="s">
        <v>1072</v>
      </c>
      <c r="G18" s="1202"/>
      <c r="H18" s="1203"/>
      <c r="I18" s="516"/>
      <c r="J18" s="33"/>
      <c r="K18" s="1035" t="s">
        <v>83</v>
      </c>
      <c r="L18" s="1036"/>
      <c r="M18" s="621" t="s">
        <v>7</v>
      </c>
      <c r="N18" s="374" t="s">
        <v>9</v>
      </c>
      <c r="O18" s="602" t="s">
        <v>7</v>
      </c>
      <c r="P18" s="612"/>
      <c r="Q18" s="1172"/>
      <c r="R18" s="1173"/>
      <c r="S18" s="601"/>
      <c r="W18" s="33"/>
      <c r="X18" s="484" t="str">
        <f t="shared" si="78"/>
        <v/>
      </c>
      <c r="Y18" s="484" t="str">
        <f t="shared" si="78"/>
        <v/>
      </c>
      <c r="Z18" s="485" t="str">
        <f t="shared" si="80"/>
        <v/>
      </c>
      <c r="AA18" s="485" t="str">
        <f t="shared" si="81"/>
        <v/>
      </c>
      <c r="AB18" s="546">
        <f t="shared" si="79"/>
        <v>0</v>
      </c>
      <c r="AC18" s="546">
        <f t="shared" si="79"/>
        <v>0</v>
      </c>
      <c r="AD18" s="424">
        <f t="shared" si="53"/>
        <v>0</v>
      </c>
      <c r="AE18" s="547"/>
      <c r="AF18" s="33"/>
      <c r="BE18" s="1" t="s">
        <v>1013</v>
      </c>
      <c r="BF18" s="712">
        <f>DATE(CH3,4,1)</f>
        <v>46113</v>
      </c>
      <c r="BW18" s="5" t="str">
        <f t="shared" si="3"/>
        <v/>
      </c>
      <c r="BX18" s="1">
        <f t="shared" si="41"/>
        <v>0</v>
      </c>
      <c r="BY18" s="5" t="str">
        <f t="shared" ref="BY18" si="82">IFERROR(IF(BW18="","",EDATE(BY17,12)+BX18),"")</f>
        <v/>
      </c>
      <c r="CD18" s="4">
        <f t="shared" si="73"/>
        <v>45931</v>
      </c>
      <c r="CE18" s="316">
        <f t="shared" si="68"/>
        <v>0</v>
      </c>
      <c r="CG18" s="4">
        <f t="shared" si="69"/>
        <v>45931</v>
      </c>
      <c r="CH18" s="4" t="str">
        <f t="shared" si="70"/>
        <v>Oct-2025</v>
      </c>
      <c r="CI18" s="420" t="s">
        <v>612</v>
      </c>
      <c r="CJ18" s="11" t="str">
        <f>IF(OR(G4="",F4="",E4=""),"NA",E4)</f>
        <v>NA</v>
      </c>
      <c r="CK18" s="11">
        <f>F4</f>
        <v>0</v>
      </c>
      <c r="CL18" s="11">
        <f>G4</f>
        <v>0</v>
      </c>
      <c r="CM18" s="10" t="str">
        <f>IFERROR(IF(CJ18="NA","",DATE(CL18,CK18,CJ18)),"")</f>
        <v/>
      </c>
      <c r="CN18">
        <v>15</v>
      </c>
      <c r="CP18" s="392">
        <v>29980</v>
      </c>
      <c r="CQ18" s="394" t="s">
        <v>565</v>
      </c>
      <c r="CR18">
        <v>36750</v>
      </c>
      <c r="CS18" s="629">
        <v>30</v>
      </c>
      <c r="CV18" t="str">
        <f t="shared" si="21"/>
        <v>May-2026</v>
      </c>
      <c r="CW18" s="5">
        <f t="shared" si="43"/>
        <v>46143</v>
      </c>
      <c r="CX18" s="5">
        <f t="shared" si="22"/>
        <v>46173</v>
      </c>
      <c r="CY18" s="4"/>
      <c r="DA18" s="5">
        <f>IF(DA10="","",IF(AND($DB$5=2,$DC$5=1),DA10,IF(AND($DB$5=2,$DC$5=2,DA10&lt;$DC$7),DA10,IF(AND($DB$5=1,DA10&lt;$DB$7),DA10,""))))</f>
        <v>46143</v>
      </c>
      <c r="DB18" s="5" t="str">
        <f>IF(AND($DC$5=1,$DB$5=1),DB10,IF(AND($DB$5=1,$DC$5=2,DB10&lt;$DC$7),DB10,""))</f>
        <v/>
      </c>
      <c r="DC18" s="5" t="str">
        <f>IF($DC$5=2,DC10,"")</f>
        <v/>
      </c>
      <c r="DD18" s="4"/>
      <c r="DE18" s="1">
        <f t="shared" si="4"/>
        <v>4</v>
      </c>
      <c r="DF18" s="4">
        <f t="shared" si="5"/>
        <v>46143</v>
      </c>
      <c r="DG18" t="str">
        <f t="shared" si="6"/>
        <v>AGI</v>
      </c>
      <c r="DH18" s="4">
        <f t="shared" si="23"/>
        <v>46173</v>
      </c>
      <c r="DI18">
        <f>IFERROR(IF(AND($CS$3=2,DJ18="AGI",INDEX($DJ$4:$DJ$56,MATCH($DR$1,$DJ$4:DJ18,0),1)=$DR$1),2,0),0)</f>
        <v>0</v>
      </c>
      <c r="DJ18" s="1" t="str">
        <f t="shared" si="24"/>
        <v/>
      </c>
      <c r="DK18" s="5" t="str">
        <f t="shared" si="25"/>
        <v/>
      </c>
      <c r="DL18" s="222" t="str">
        <f t="shared" si="26"/>
        <v/>
      </c>
      <c r="DM18" s="225">
        <f t="shared" si="44"/>
        <v>0</v>
      </c>
      <c r="DN18" s="11">
        <f t="shared" si="27"/>
        <v>74770</v>
      </c>
      <c r="DO18" s="11" t="str">
        <f t="shared" si="28"/>
        <v/>
      </c>
      <c r="DP18" s="233">
        <f t="shared" si="45"/>
        <v>74770</v>
      </c>
      <c r="DQ18" s="229" t="str">
        <f t="shared" si="7"/>
        <v/>
      </c>
      <c r="DS18" s="1">
        <f t="shared" si="29"/>
        <v>0</v>
      </c>
      <c r="DT18" s="1">
        <f t="shared" si="30"/>
        <v>74770</v>
      </c>
      <c r="DV18" s="1" t="str">
        <f t="shared" si="8"/>
        <v/>
      </c>
      <c r="DW18" s="1" t="str">
        <f t="shared" si="31"/>
        <v/>
      </c>
      <c r="DX18" s="1" t="str">
        <f t="shared" si="32"/>
        <v/>
      </c>
      <c r="DY18" s="5" t="str">
        <f t="shared" si="46"/>
        <v/>
      </c>
      <c r="DZ18" s="5" t="str">
        <f t="shared" si="33"/>
        <v/>
      </c>
      <c r="EA18" s="1" t="str">
        <f t="shared" si="34"/>
        <v/>
      </c>
      <c r="EB18" s="404">
        <f t="shared" si="47"/>
        <v>0</v>
      </c>
      <c r="EC18" s="421" t="str">
        <f t="shared" si="35"/>
        <v/>
      </c>
      <c r="ED18">
        <f t="shared" si="36"/>
        <v>0</v>
      </c>
      <c r="EE18" s="18">
        <f t="shared" si="37"/>
        <v>0</v>
      </c>
      <c r="EF18" s="1" t="str">
        <f t="shared" si="48"/>
        <v/>
      </c>
      <c r="EG18" s="1" t="str">
        <f t="shared" si="9"/>
        <v/>
      </c>
      <c r="EH18" s="1" t="str">
        <f t="shared" si="38"/>
        <v/>
      </c>
      <c r="EI18" s="88"/>
      <c r="EJ18" t="str">
        <f t="shared" si="39"/>
        <v/>
      </c>
      <c r="EM18" s="396"/>
      <c r="EO18" s="301"/>
      <c r="EP18" s="1">
        <f t="shared" si="10"/>
        <v>0</v>
      </c>
      <c r="EQ18" s="1">
        <f t="shared" si="11"/>
        <v>0</v>
      </c>
      <c r="EU18" s="1">
        <f t="shared" si="12"/>
        <v>0</v>
      </c>
      <c r="EV18" s="1">
        <f t="shared" si="13"/>
        <v>0</v>
      </c>
      <c r="EZ18" s="1">
        <f t="shared" si="14"/>
        <v>0</v>
      </c>
      <c r="FA18" s="1">
        <f t="shared" si="15"/>
        <v>0</v>
      </c>
      <c r="FE18" s="8"/>
      <c r="FF18" s="8"/>
      <c r="FJ18" s="8"/>
      <c r="FK18" s="8"/>
      <c r="FY18" s="1">
        <v>0</v>
      </c>
      <c r="FZ18" s="1">
        <v>700</v>
      </c>
      <c r="GA18" s="1">
        <v>800</v>
      </c>
      <c r="GB18" s="1">
        <v>900</v>
      </c>
    </row>
    <row r="19" spans="1:194" ht="24" customHeight="1" x14ac:dyDescent="0.25">
      <c r="A19" s="1058"/>
      <c r="B19" s="1187" t="str">
        <f>IF(E19="","","(F.P-"&amp;IFERROR(E19-MIN(ROUND(E19/3,0),25000),0)&amp;")")&amp;"&lt;Family Pension"</f>
        <v>&lt;Family Pension</v>
      </c>
      <c r="C19" s="1188"/>
      <c r="D19" s="1189"/>
      <c r="E19" s="953"/>
      <c r="F19" s="1047" t="s">
        <v>22</v>
      </c>
      <c r="G19" s="1048"/>
      <c r="H19" s="1049"/>
      <c r="I19" s="516"/>
      <c r="J19" s="33"/>
      <c r="K19" s="1098" t="s">
        <v>626</v>
      </c>
      <c r="L19" s="1099"/>
      <c r="M19" s="622">
        <v>0</v>
      </c>
      <c r="N19" s="383"/>
      <c r="O19" s="605"/>
      <c r="P19" s="612"/>
      <c r="Q19" s="1178" t="s">
        <v>690</v>
      </c>
      <c r="R19" s="1179"/>
      <c r="S19" s="601"/>
      <c r="W19" s="33"/>
      <c r="X19" s="484" t="str">
        <f t="shared" si="78"/>
        <v/>
      </c>
      <c r="Y19" s="484" t="str">
        <f t="shared" si="78"/>
        <v/>
      </c>
      <c r="Z19" s="485" t="str">
        <f t="shared" si="80"/>
        <v/>
      </c>
      <c r="AA19" s="485" t="str">
        <f t="shared" si="81"/>
        <v/>
      </c>
      <c r="AB19" s="546">
        <f t="shared" si="79"/>
        <v>0</v>
      </c>
      <c r="AC19" s="546">
        <f t="shared" si="79"/>
        <v>0</v>
      </c>
      <c r="AD19" s="424">
        <f t="shared" si="53"/>
        <v>0</v>
      </c>
      <c r="AE19" s="547"/>
      <c r="AF19" s="33"/>
      <c r="BE19" s="1" t="s">
        <v>1007</v>
      </c>
      <c r="BF19" s="712" t="e">
        <f>BE8</f>
        <v>#VALUE!</v>
      </c>
      <c r="CD19" s="4">
        <f t="shared" si="73"/>
        <v>45962</v>
      </c>
      <c r="CE19" s="316">
        <f t="shared" si="68"/>
        <v>0</v>
      </c>
      <c r="CG19" s="4">
        <f t="shared" si="69"/>
        <v>45962</v>
      </c>
      <c r="CH19" s="4" t="str">
        <f t="shared" si="70"/>
        <v>Nov-2025</v>
      </c>
      <c r="CJ19" t="s">
        <v>58</v>
      </c>
      <c r="CK19" t="s">
        <v>59</v>
      </c>
      <c r="CL19" t="s">
        <v>60</v>
      </c>
      <c r="CN19">
        <v>16</v>
      </c>
      <c r="CP19" s="392">
        <v>30830</v>
      </c>
      <c r="CQ19" s="394" t="s">
        <v>566</v>
      </c>
      <c r="CR19">
        <v>38890</v>
      </c>
      <c r="CS19" s="629">
        <v>60</v>
      </c>
      <c r="CV19" t="str">
        <f t="shared" si="21"/>
        <v>Jun-2026</v>
      </c>
      <c r="CW19" s="5">
        <f t="shared" si="43"/>
        <v>46174</v>
      </c>
      <c r="CX19" s="5">
        <f t="shared" si="22"/>
        <v>46203</v>
      </c>
      <c r="CY19" s="4"/>
      <c r="DA19" s="5" t="str">
        <f>IF(DA11="","",IF(AND($DB$5=2,$DC$5=1),DA11,IF(AND($DB$5=2,$DC$5=2,DA11&lt;$DC$7),DA11,IF(AND($DB$5=1,DA11&lt;$DB$7),DA11,""))))</f>
        <v/>
      </c>
      <c r="DB19" s="5" t="str">
        <f>IF(AND($DC$5=1,$DB$5=1),DB11,IF(AND($DB$5=1,$DC$5=2,DB11&lt;$DC$7),DB11,""))</f>
        <v/>
      </c>
      <c r="DC19" s="5" t="str">
        <f>IF($DC$5=2,DC11,"")</f>
        <v/>
      </c>
      <c r="DD19" s="4"/>
      <c r="DE19" s="1" t="str">
        <f t="shared" si="4"/>
        <v/>
      </c>
      <c r="DF19" s="4">
        <f t="shared" si="5"/>
        <v>46174</v>
      </c>
      <c r="DG19" t="str">
        <f t="shared" si="6"/>
        <v/>
      </c>
      <c r="DH19" s="4">
        <f t="shared" si="23"/>
        <v>46203</v>
      </c>
      <c r="DI19">
        <f>IFERROR(IF(AND($CS$3=2,DJ19="AGI",INDEX($DJ$4:$DJ$56,MATCH($DR$1,$DJ$4:DJ19,0),1)=$DR$1),2,0),0)</f>
        <v>0</v>
      </c>
      <c r="DJ19" s="1" t="str">
        <f t="shared" si="24"/>
        <v/>
      </c>
      <c r="DK19" s="5" t="str">
        <f t="shared" si="25"/>
        <v/>
      </c>
      <c r="DL19" s="222" t="str">
        <f t="shared" si="26"/>
        <v/>
      </c>
      <c r="DM19" s="225">
        <f t="shared" si="44"/>
        <v>0</v>
      </c>
      <c r="DN19" s="11">
        <f t="shared" si="27"/>
        <v>74770</v>
      </c>
      <c r="DO19" s="11" t="str">
        <f t="shared" si="28"/>
        <v/>
      </c>
      <c r="DP19" s="233">
        <f t="shared" si="45"/>
        <v>74770</v>
      </c>
      <c r="DQ19" s="229" t="str">
        <f t="shared" si="7"/>
        <v/>
      </c>
      <c r="DS19" s="1">
        <f t="shared" si="29"/>
        <v>0</v>
      </c>
      <c r="DT19" s="1">
        <f t="shared" si="30"/>
        <v>74770</v>
      </c>
      <c r="DV19" s="1" t="str">
        <f t="shared" si="8"/>
        <v/>
      </c>
      <c r="DW19" s="1" t="str">
        <f t="shared" si="31"/>
        <v/>
      </c>
      <c r="DX19" s="1" t="str">
        <f t="shared" si="32"/>
        <v/>
      </c>
      <c r="DY19" s="5" t="str">
        <f t="shared" si="46"/>
        <v/>
      </c>
      <c r="DZ19" s="5" t="str">
        <f t="shared" si="33"/>
        <v/>
      </c>
      <c r="EA19" s="1" t="str">
        <f t="shared" si="34"/>
        <v/>
      </c>
      <c r="EB19" s="404">
        <f t="shared" si="47"/>
        <v>0</v>
      </c>
      <c r="EC19" s="421" t="str">
        <f t="shared" si="35"/>
        <v/>
      </c>
      <c r="ED19">
        <f t="shared" si="36"/>
        <v>0</v>
      </c>
      <c r="EE19" s="18">
        <f t="shared" si="37"/>
        <v>0</v>
      </c>
      <c r="EF19" s="1" t="str">
        <f t="shared" si="48"/>
        <v/>
      </c>
      <c r="EG19" s="1" t="str">
        <f t="shared" si="9"/>
        <v/>
      </c>
      <c r="EH19" s="1" t="str">
        <f t="shared" si="38"/>
        <v/>
      </c>
      <c r="EI19" s="88"/>
      <c r="EJ19" t="str">
        <f t="shared" si="39"/>
        <v/>
      </c>
      <c r="EO19" s="301"/>
      <c r="EP19" s="1">
        <f t="shared" si="10"/>
        <v>0</v>
      </c>
      <c r="EQ19" s="1">
        <f t="shared" si="11"/>
        <v>0</v>
      </c>
      <c r="EU19" s="1">
        <f t="shared" si="12"/>
        <v>0</v>
      </c>
      <c r="EV19" s="1">
        <f t="shared" si="13"/>
        <v>0</v>
      </c>
      <c r="EZ19" s="1">
        <f t="shared" si="14"/>
        <v>0</v>
      </c>
      <c r="FA19" s="1">
        <f t="shared" si="15"/>
        <v>0</v>
      </c>
      <c r="FE19" s="8"/>
      <c r="FF19" s="8"/>
      <c r="FJ19" s="8"/>
      <c r="FK19" s="8"/>
      <c r="FY19" s="1">
        <v>31751</v>
      </c>
      <c r="FZ19" s="1">
        <v>850</v>
      </c>
      <c r="GA19" s="1">
        <v>975</v>
      </c>
      <c r="GB19" s="1">
        <v>1100</v>
      </c>
    </row>
    <row r="20" spans="1:194" ht="18.399999999999999" customHeight="1" x14ac:dyDescent="0.25">
      <c r="A20" s="1061" t="s">
        <v>710</v>
      </c>
      <c r="B20" s="1067" t="s">
        <v>723</v>
      </c>
      <c r="C20" s="1067"/>
      <c r="D20" s="1067"/>
      <c r="E20" s="1068"/>
      <c r="F20" s="1067"/>
      <c r="G20" s="1067"/>
      <c r="H20" s="1069"/>
      <c r="I20" s="587" t="s">
        <v>118</v>
      </c>
      <c r="J20" s="33"/>
      <c r="K20" s="1098" t="s">
        <v>596</v>
      </c>
      <c r="L20" s="1099"/>
      <c r="M20" s="622">
        <v>0</v>
      </c>
      <c r="N20" s="383"/>
      <c r="O20" s="605"/>
      <c r="P20" s="612"/>
      <c r="Q20" s="1102"/>
      <c r="R20" s="1103"/>
      <c r="S20" s="601"/>
      <c r="W20" s="33"/>
      <c r="X20" s="484" t="str">
        <f t="shared" si="78"/>
        <v/>
      </c>
      <c r="Y20" s="484" t="str">
        <f t="shared" si="78"/>
        <v/>
      </c>
      <c r="Z20" s="485" t="str">
        <f t="shared" si="80"/>
        <v/>
      </c>
      <c r="AA20" s="485" t="str">
        <f t="shared" si="81"/>
        <v/>
      </c>
      <c r="AB20" s="546">
        <f t="shared" si="79"/>
        <v>0</v>
      </c>
      <c r="AC20" s="546">
        <f t="shared" si="79"/>
        <v>0</v>
      </c>
      <c r="AD20" s="424">
        <f t="shared" si="53"/>
        <v>0</v>
      </c>
      <c r="AE20" s="547"/>
      <c r="AF20" s="33"/>
      <c r="BE20" s="1"/>
      <c r="BF20" s="713" t="e">
        <f>DATEDIF(BF19,BF18,"y")&amp;"Y,"&amp;DATEDIF(BF19,BF18,"ym")&amp;"M,"&amp;DATEDIF(BF19,BF18,"md")&amp;"D"</f>
        <v>#VALUE!</v>
      </c>
      <c r="CD20" s="4">
        <f t="shared" si="73"/>
        <v>45992</v>
      </c>
      <c r="CE20" s="316">
        <f t="shared" si="68"/>
        <v>0</v>
      </c>
      <c r="CG20" s="4">
        <f t="shared" si="69"/>
        <v>45992</v>
      </c>
      <c r="CH20" s="4" t="str">
        <f t="shared" si="70"/>
        <v>Dec-2025</v>
      </c>
      <c r="CI20" t="s">
        <v>56</v>
      </c>
      <c r="CJ20" t="str">
        <f>LEFT(O5,FIND(".",O5)-1)</f>
        <v>24</v>
      </c>
      <c r="CK20" t="str">
        <f>TRIM(LEFT(SUBSTITUTE(MID(O5,FIND("|",SUBSTITUTE(O5,".","|",1))+1,LEN(O5)),".",REPT(" ",LEN(O5))),LEN(O5)))</f>
        <v>10</v>
      </c>
      <c r="CL20" t="str">
        <f>TRIM(LEFT(SUBSTITUTE(MID(O5,FIND("|",SUBSTITUTE(O5,".","|",2))+1,LEN(O5)),".",REPT(" ",LEN(O5))),LEN(O5)))</f>
        <v>2025</v>
      </c>
      <c r="CM20" s="10">
        <f>IFERROR(IF(AND(ISERROR(DATE(CL20,CK20,CJ20)),NOT(O5="")),DATE(YEAR(O5),MONTH(O5),DAY(O5)),DATE(CL20,CK20,CJ20)),"")</f>
        <v>45954</v>
      </c>
      <c r="CN20">
        <v>17</v>
      </c>
      <c r="CP20" s="392">
        <v>31750</v>
      </c>
      <c r="CQ20" s="394" t="s">
        <v>567</v>
      </c>
      <c r="CR20">
        <v>42300</v>
      </c>
      <c r="CS20" s="629">
        <v>90</v>
      </c>
      <c r="CV20" t="str">
        <f t="shared" si="21"/>
        <v>Jul-2026</v>
      </c>
      <c r="CW20" s="5">
        <f t="shared" si="43"/>
        <v>46204</v>
      </c>
      <c r="CX20" s="5">
        <f t="shared" si="22"/>
        <v>46234</v>
      </c>
      <c r="CY20" s="4"/>
      <c r="DE20" s="1" t="str">
        <f t="shared" si="4"/>
        <v/>
      </c>
      <c r="DF20" s="4">
        <f t="shared" si="5"/>
        <v>46204</v>
      </c>
      <c r="DG20" t="str">
        <f t="shared" si="6"/>
        <v/>
      </c>
      <c r="DH20" s="4">
        <f t="shared" si="23"/>
        <v>46234</v>
      </c>
      <c r="DI20">
        <f>IFERROR(IF(AND($CS$3=2,DJ20="AGI",INDEX($DJ$4:$DJ$56,MATCH($DR$1,$DJ$4:DJ20,0),1)=$DR$1),2,0),0)</f>
        <v>0</v>
      </c>
      <c r="DJ20" s="1" t="str">
        <f t="shared" si="24"/>
        <v/>
      </c>
      <c r="DK20" s="5" t="str">
        <f t="shared" si="25"/>
        <v/>
      </c>
      <c r="DL20" s="222" t="str">
        <f t="shared" si="26"/>
        <v/>
      </c>
      <c r="DM20" s="225">
        <f t="shared" si="44"/>
        <v>0</v>
      </c>
      <c r="DN20" s="11">
        <f t="shared" si="27"/>
        <v>74770</v>
      </c>
      <c r="DO20" s="11" t="str">
        <f t="shared" si="28"/>
        <v/>
      </c>
      <c r="DP20" s="233">
        <f t="shared" si="45"/>
        <v>74770</v>
      </c>
      <c r="DQ20" s="229" t="str">
        <f t="shared" si="7"/>
        <v/>
      </c>
      <c r="DS20" s="1">
        <f t="shared" si="29"/>
        <v>0</v>
      </c>
      <c r="DT20" s="1">
        <f t="shared" si="30"/>
        <v>74770</v>
      </c>
      <c r="DV20" s="1" t="str">
        <f t="shared" si="8"/>
        <v/>
      </c>
      <c r="DW20" s="1" t="str">
        <f t="shared" si="31"/>
        <v/>
      </c>
      <c r="DX20" s="1" t="str">
        <f t="shared" si="32"/>
        <v/>
      </c>
      <c r="DY20" s="5" t="str">
        <f t="shared" si="46"/>
        <v/>
      </c>
      <c r="DZ20" s="5" t="str">
        <f t="shared" si="33"/>
        <v/>
      </c>
      <c r="EA20" s="1" t="str">
        <f t="shared" si="34"/>
        <v/>
      </c>
      <c r="EB20" s="404">
        <f t="shared" si="47"/>
        <v>0</v>
      </c>
      <c r="EC20" s="421" t="str">
        <f t="shared" si="35"/>
        <v/>
      </c>
      <c r="ED20">
        <f t="shared" si="36"/>
        <v>0</v>
      </c>
      <c r="EE20" s="18">
        <f t="shared" si="37"/>
        <v>0</v>
      </c>
      <c r="EF20" s="1" t="str">
        <f t="shared" si="48"/>
        <v/>
      </c>
      <c r="EG20" s="1" t="str">
        <f t="shared" si="9"/>
        <v/>
      </c>
      <c r="EH20" s="1" t="str">
        <f t="shared" si="38"/>
        <v/>
      </c>
      <c r="EI20" s="88"/>
      <c r="EJ20" t="str">
        <f t="shared" si="39"/>
        <v/>
      </c>
      <c r="EO20" s="301"/>
      <c r="EP20" s="1">
        <f t="shared" si="10"/>
        <v>0</v>
      </c>
      <c r="EQ20" s="1">
        <f t="shared" si="11"/>
        <v>0</v>
      </c>
      <c r="EU20" s="1">
        <f t="shared" si="12"/>
        <v>0</v>
      </c>
      <c r="EV20" s="1">
        <f t="shared" si="13"/>
        <v>0</v>
      </c>
      <c r="EZ20" s="1">
        <f t="shared" si="14"/>
        <v>0</v>
      </c>
      <c r="FA20" s="1">
        <f t="shared" si="15"/>
        <v>0</v>
      </c>
      <c r="FE20" s="8"/>
      <c r="FF20" s="8"/>
      <c r="FJ20" s="8"/>
      <c r="FK20" s="8"/>
      <c r="FY20" s="1">
        <v>42141</v>
      </c>
      <c r="FZ20" s="1">
        <v>1000</v>
      </c>
      <c r="GA20" s="1">
        <v>1150</v>
      </c>
      <c r="GB20" s="1">
        <v>1300</v>
      </c>
    </row>
    <row r="21" spans="1:194" ht="24.6" customHeight="1" thickBot="1" x14ac:dyDescent="0.3">
      <c r="A21" s="1062"/>
      <c r="B21" s="1032" t="s">
        <v>133</v>
      </c>
      <c r="C21" s="1032"/>
      <c r="D21" s="1032"/>
      <c r="E21" s="1032"/>
      <c r="F21" s="1032"/>
      <c r="G21" s="1032"/>
      <c r="H21" s="1032"/>
      <c r="I21" s="517"/>
      <c r="J21" s="33"/>
      <c r="K21" s="1070" t="s">
        <v>85</v>
      </c>
      <c r="L21" s="1071"/>
      <c r="M21" s="623">
        <v>0</v>
      </c>
      <c r="N21" s="480"/>
      <c r="O21" s="606"/>
      <c r="P21" s="612"/>
      <c r="Q21" s="1102" t="s">
        <v>763</v>
      </c>
      <c r="R21" s="1103"/>
      <c r="S21" s="601"/>
      <c r="W21" s="33"/>
      <c r="X21" s="484" t="str">
        <f t="shared" si="78"/>
        <v/>
      </c>
      <c r="Y21" s="484" t="str">
        <f t="shared" si="78"/>
        <v/>
      </c>
      <c r="Z21" s="485" t="str">
        <f t="shared" si="80"/>
        <v/>
      </c>
      <c r="AA21" s="485" t="str">
        <f t="shared" si="81"/>
        <v/>
      </c>
      <c r="AB21" s="546">
        <f t="shared" si="79"/>
        <v>0</v>
      </c>
      <c r="AC21" s="546">
        <f t="shared" si="79"/>
        <v>0</v>
      </c>
      <c r="AD21" s="424">
        <f t="shared" si="53"/>
        <v>0</v>
      </c>
      <c r="AE21" s="547"/>
      <c r="AF21" s="33"/>
      <c r="CD21" s="4">
        <f t="shared" si="73"/>
        <v>46023</v>
      </c>
      <c r="CE21" s="316">
        <f t="shared" si="68"/>
        <v>0</v>
      </c>
      <c r="CG21" s="4">
        <f t="shared" si="69"/>
        <v>46023</v>
      </c>
      <c r="CH21" s="4" t="str">
        <f t="shared" si="70"/>
        <v>Jan-2026</v>
      </c>
      <c r="CM21" s="4" t="str">
        <f>IFERROR(IF(AND(ISERROR(DATE(CL21,CK21,CJ21)),NOT(O9="")),DATE(YEAR(O9),MONTH(O13),DAY(O9)),DATE(CL21,CK21,CJ21)),"")</f>
        <v/>
      </c>
      <c r="CN21">
        <v>18</v>
      </c>
      <c r="CP21" s="392">
        <v>32670</v>
      </c>
      <c r="CQ21" s="394" t="s">
        <v>568</v>
      </c>
      <c r="CR21">
        <v>43490</v>
      </c>
      <c r="CS21" s="629">
        <v>120</v>
      </c>
      <c r="CV21" t="str">
        <f t="shared" si="21"/>
        <v>Aug-2026</v>
      </c>
      <c r="CW21" s="5">
        <f t="shared" si="43"/>
        <v>46235</v>
      </c>
      <c r="CX21" s="5">
        <f t="shared" si="22"/>
        <v>46265</v>
      </c>
      <c r="CY21" s="4"/>
      <c r="DE21" s="1" t="str">
        <f t="shared" si="4"/>
        <v/>
      </c>
      <c r="DF21" s="4">
        <f t="shared" si="5"/>
        <v>46235</v>
      </c>
      <c r="DG21" t="str">
        <f t="shared" si="6"/>
        <v/>
      </c>
      <c r="DH21" s="4">
        <f t="shared" si="23"/>
        <v>46265</v>
      </c>
      <c r="DI21">
        <f>IFERROR(IF(AND($CS$3=2,DJ21="AGI",INDEX($DJ$4:$DJ$56,MATCH($DR$1,$DJ$4:DJ21,0),1)=$DR$1),2,0),0)</f>
        <v>0</v>
      </c>
      <c r="DJ21" s="1" t="str">
        <f t="shared" si="24"/>
        <v/>
      </c>
      <c r="DK21" s="5" t="str">
        <f t="shared" si="25"/>
        <v/>
      </c>
      <c r="DL21" s="222" t="str">
        <f t="shared" si="26"/>
        <v/>
      </c>
      <c r="DM21" s="225">
        <f t="shared" si="44"/>
        <v>0</v>
      </c>
      <c r="DN21" s="11">
        <f t="shared" si="27"/>
        <v>74770</v>
      </c>
      <c r="DO21" s="11" t="str">
        <f t="shared" si="28"/>
        <v/>
      </c>
      <c r="DP21" s="233">
        <f t="shared" si="45"/>
        <v>74770</v>
      </c>
      <c r="DQ21" s="229" t="str">
        <f t="shared" si="7"/>
        <v/>
      </c>
      <c r="DS21" s="1">
        <f t="shared" si="29"/>
        <v>0</v>
      </c>
      <c r="DT21" s="1">
        <f t="shared" si="30"/>
        <v>74770</v>
      </c>
      <c r="DV21" s="1" t="str">
        <f t="shared" si="8"/>
        <v/>
      </c>
      <c r="DW21" s="1" t="str">
        <f t="shared" si="31"/>
        <v/>
      </c>
      <c r="DX21" s="1" t="str">
        <f t="shared" si="32"/>
        <v/>
      </c>
      <c r="DY21" s="5" t="str">
        <f t="shared" si="46"/>
        <v/>
      </c>
      <c r="DZ21" s="5" t="str">
        <f t="shared" si="33"/>
        <v/>
      </c>
      <c r="EA21" s="1" t="str">
        <f t="shared" si="34"/>
        <v/>
      </c>
      <c r="EB21" s="404">
        <f t="shared" si="47"/>
        <v>0</v>
      </c>
      <c r="EC21" s="421" t="str">
        <f t="shared" si="35"/>
        <v/>
      </c>
      <c r="ED21">
        <f t="shared" si="36"/>
        <v>0</v>
      </c>
      <c r="EE21" s="18">
        <f t="shared" si="37"/>
        <v>0</v>
      </c>
      <c r="EF21" s="1" t="str">
        <f t="shared" si="48"/>
        <v/>
      </c>
      <c r="EG21" s="1" t="str">
        <f t="shared" si="9"/>
        <v/>
      </c>
      <c r="EH21" s="1" t="str">
        <f t="shared" si="38"/>
        <v/>
      </c>
      <c r="EI21" s="88"/>
      <c r="EJ21" t="str">
        <f t="shared" si="39"/>
        <v/>
      </c>
      <c r="EO21" s="301"/>
      <c r="EP21" s="1">
        <f t="shared" si="10"/>
        <v>0</v>
      </c>
      <c r="EQ21" s="1">
        <f t="shared" si="11"/>
        <v>0</v>
      </c>
      <c r="EU21" s="1">
        <f t="shared" si="12"/>
        <v>0</v>
      </c>
      <c r="EV21" s="1">
        <f t="shared" si="13"/>
        <v>0</v>
      </c>
      <c r="EZ21" s="1">
        <f t="shared" si="14"/>
        <v>0</v>
      </c>
      <c r="FA21" s="1">
        <f t="shared" si="15"/>
        <v>0</v>
      </c>
      <c r="FE21" s="8"/>
      <c r="FF21" s="8"/>
      <c r="FJ21" s="8"/>
      <c r="FK21" s="8"/>
      <c r="FY21" s="1">
        <v>54061</v>
      </c>
      <c r="FZ21" s="1">
        <v>1225</v>
      </c>
      <c r="GA21" s="1">
        <v>1400</v>
      </c>
      <c r="GB21" s="1">
        <v>1600</v>
      </c>
    </row>
    <row r="22" spans="1:194" ht="24.6" customHeight="1" thickTop="1" x14ac:dyDescent="0.25">
      <c r="A22" s="1062"/>
      <c r="B22" s="1032" t="s">
        <v>120</v>
      </c>
      <c r="C22" s="1032"/>
      <c r="D22" s="1032"/>
      <c r="E22" s="1032"/>
      <c r="F22" s="1032"/>
      <c r="G22" s="1032"/>
      <c r="H22" s="1032"/>
      <c r="I22" s="517"/>
      <c r="J22" s="33"/>
      <c r="K22" s="1076" t="s">
        <v>739</v>
      </c>
      <c r="L22" s="1077"/>
      <c r="M22" s="584" t="s">
        <v>740</v>
      </c>
      <c r="N22" s="585" t="s">
        <v>742</v>
      </c>
      <c r="O22" s="607" t="s">
        <v>743</v>
      </c>
      <c r="P22" s="612"/>
      <c r="Q22" s="1102"/>
      <c r="R22" s="1103"/>
      <c r="S22" s="601"/>
      <c r="W22" s="33"/>
      <c r="X22" s="484" t="str">
        <f t="shared" si="78"/>
        <v/>
      </c>
      <c r="Y22" s="484" t="str">
        <f t="shared" si="78"/>
        <v/>
      </c>
      <c r="Z22" s="485" t="str">
        <f t="shared" si="80"/>
        <v/>
      </c>
      <c r="AA22" s="485" t="str">
        <f t="shared" si="81"/>
        <v/>
      </c>
      <c r="AB22" s="546">
        <f t="shared" si="79"/>
        <v>0</v>
      </c>
      <c r="AC22" s="546">
        <f t="shared" si="79"/>
        <v>0</v>
      </c>
      <c r="AD22" s="424">
        <f t="shared" si="53"/>
        <v>0</v>
      </c>
      <c r="AE22" s="547"/>
      <c r="AF22" s="33"/>
      <c r="CD22" s="4">
        <f t="shared" si="73"/>
        <v>46054</v>
      </c>
      <c r="CE22" s="316">
        <f t="shared" si="68"/>
        <v>0</v>
      </c>
      <c r="CG22" s="4">
        <f t="shared" si="69"/>
        <v>46054</v>
      </c>
      <c r="CH22" s="4" t="str">
        <f t="shared" si="70"/>
        <v>Feb-2026</v>
      </c>
      <c r="CI22" t="s">
        <v>57</v>
      </c>
      <c r="CJ22" t="str">
        <f>LEFT(O9,FIND(".",O9)-1)</f>
        <v>24</v>
      </c>
      <c r="CK22" t="str">
        <f>TRIM(LEFT(SUBSTITUTE(MID(O9,FIND("|",SUBSTITUTE(O9,".","|",1))+1,LEN(O9)),".",REPT(" ",LEN(O9))),LEN(O9)))</f>
        <v>06</v>
      </c>
      <c r="CL22" t="str">
        <f>TRIM(LEFT(SUBSTITUTE(MID(O9,FIND("|",SUBSTITUTE(O9,".","|",2))+1,LEN(O9)),".",REPT(" ",LEN(O9))),LEN(O9)))</f>
        <v>2025</v>
      </c>
      <c r="CM22" s="10">
        <f>IFERROR(IF(AND(ISERROR(DATE(CL22,CK22,CJ22)),NOT(O9="")),DATE(YEAR(O9),MONTH(O9),DAY(O9)),DATE(CL22,CK22,CJ22)),"")</f>
        <v>45832</v>
      </c>
      <c r="CN22">
        <v>19</v>
      </c>
      <c r="CP22" s="392">
        <v>33590</v>
      </c>
      <c r="CQ22" s="394" t="s">
        <v>569</v>
      </c>
      <c r="CR22">
        <v>45960</v>
      </c>
      <c r="CS22" s="629">
        <v>0</v>
      </c>
      <c r="CV22" t="str">
        <f t="shared" si="21"/>
        <v>Sep-2026</v>
      </c>
      <c r="CW22" s="5">
        <f t="shared" si="43"/>
        <v>46266</v>
      </c>
      <c r="CX22" s="5">
        <f t="shared" si="22"/>
        <v>46295</v>
      </c>
      <c r="CY22" s="4"/>
      <c r="DA22" t="s">
        <v>65</v>
      </c>
      <c r="DC22" t="s">
        <v>587</v>
      </c>
      <c r="DE22" s="1" t="str">
        <f t="shared" si="4"/>
        <v/>
      </c>
      <c r="DF22" s="4">
        <f t="shared" si="5"/>
        <v>46266</v>
      </c>
      <c r="DG22" t="str">
        <f t="shared" si="6"/>
        <v/>
      </c>
      <c r="DH22" s="4">
        <f t="shared" si="23"/>
        <v>46295</v>
      </c>
      <c r="DI22">
        <f>IFERROR(IF(AND($CS$3=2,DJ22="AGI",INDEX($DJ$4:$DJ$56,MATCH($DR$1,$DJ$4:DJ22,0),1)=$DR$1),2,0),0)</f>
        <v>0</v>
      </c>
      <c r="DJ22" s="1" t="str">
        <f t="shared" si="24"/>
        <v/>
      </c>
      <c r="DK22" s="5" t="str">
        <f t="shared" si="25"/>
        <v/>
      </c>
      <c r="DL22" s="222" t="str">
        <f t="shared" si="26"/>
        <v/>
      </c>
      <c r="DM22" s="225">
        <f t="shared" si="44"/>
        <v>0</v>
      </c>
      <c r="DN22" s="11">
        <f t="shared" si="27"/>
        <v>74770</v>
      </c>
      <c r="DO22" s="11" t="str">
        <f t="shared" si="28"/>
        <v/>
      </c>
      <c r="DP22" s="233">
        <f t="shared" si="45"/>
        <v>74770</v>
      </c>
      <c r="DQ22" s="229" t="str">
        <f t="shared" si="7"/>
        <v/>
      </c>
      <c r="DS22" s="1">
        <f t="shared" si="29"/>
        <v>0</v>
      </c>
      <c r="DT22" s="1">
        <f t="shared" si="30"/>
        <v>74770</v>
      </c>
      <c r="DV22" s="1" t="str">
        <f t="shared" si="8"/>
        <v/>
      </c>
      <c r="DW22" s="1" t="str">
        <f t="shared" si="31"/>
        <v/>
      </c>
      <c r="DX22" s="1" t="str">
        <f t="shared" si="32"/>
        <v/>
      </c>
      <c r="DY22" s="5" t="str">
        <f t="shared" si="46"/>
        <v/>
      </c>
      <c r="DZ22" s="5" t="str">
        <f t="shared" si="33"/>
        <v/>
      </c>
      <c r="EA22" s="1" t="str">
        <f t="shared" si="34"/>
        <v/>
      </c>
      <c r="EB22" s="404">
        <f t="shared" si="47"/>
        <v>0</v>
      </c>
      <c r="EC22" s="421" t="str">
        <f t="shared" si="35"/>
        <v/>
      </c>
      <c r="ED22">
        <f t="shared" si="36"/>
        <v>0</v>
      </c>
      <c r="EE22" s="18">
        <f t="shared" si="37"/>
        <v>0</v>
      </c>
      <c r="EF22" s="1" t="str">
        <f t="shared" si="48"/>
        <v/>
      </c>
      <c r="EG22" s="1" t="str">
        <f t="shared" si="9"/>
        <v/>
      </c>
      <c r="EH22" s="1" t="str">
        <f t="shared" si="38"/>
        <v/>
      </c>
      <c r="EI22" s="88"/>
      <c r="EJ22" t="str">
        <f t="shared" si="39"/>
        <v/>
      </c>
      <c r="EM22" s="396"/>
      <c r="EO22" s="301"/>
      <c r="EP22" s="1">
        <f t="shared" si="10"/>
        <v>0</v>
      </c>
      <c r="EQ22" s="1">
        <f t="shared" si="11"/>
        <v>0</v>
      </c>
      <c r="EU22" s="1">
        <f t="shared" si="12"/>
        <v>0</v>
      </c>
      <c r="EV22" s="1">
        <f t="shared" si="13"/>
        <v>0</v>
      </c>
      <c r="EZ22" s="1">
        <f t="shared" si="14"/>
        <v>0</v>
      </c>
      <c r="FA22" s="1">
        <f t="shared" si="15"/>
        <v>0</v>
      </c>
      <c r="FE22" s="8"/>
      <c r="FF22" s="8"/>
      <c r="FJ22" s="8"/>
      <c r="FK22" s="8"/>
      <c r="FY22" s="1">
        <v>65361</v>
      </c>
      <c r="FZ22" s="1">
        <v>1330</v>
      </c>
      <c r="GA22" s="1">
        <v>1525</v>
      </c>
      <c r="GB22" s="1">
        <v>1700</v>
      </c>
    </row>
    <row r="23" spans="1:194" ht="24.6" customHeight="1" x14ac:dyDescent="0.25">
      <c r="A23" s="1062"/>
      <c r="B23" s="1032" t="s">
        <v>134</v>
      </c>
      <c r="C23" s="1032"/>
      <c r="D23" s="1032"/>
      <c r="E23" s="1032"/>
      <c r="F23" s="1032"/>
      <c r="G23" s="1032"/>
      <c r="H23" s="1032"/>
      <c r="I23" s="517"/>
      <c r="J23" s="33"/>
      <c r="K23" s="1072" t="str">
        <f>IF('Statement(edit)'!S4="CPS","",'Statement(edit)'!S4)</f>
        <v/>
      </c>
      <c r="L23" s="1073"/>
      <c r="M23" s="159">
        <v>10000</v>
      </c>
      <c r="N23" s="159"/>
      <c r="O23" s="608"/>
      <c r="P23" s="612"/>
      <c r="Q23" s="1102" t="s">
        <v>693</v>
      </c>
      <c r="R23" s="1103"/>
      <c r="S23" s="601"/>
      <c r="W23" s="33"/>
      <c r="X23" s="484" t="str">
        <f t="shared" si="78"/>
        <v/>
      </c>
      <c r="Y23" s="484" t="str">
        <f t="shared" si="78"/>
        <v/>
      </c>
      <c r="Z23" s="485" t="str">
        <f t="shared" si="80"/>
        <v/>
      </c>
      <c r="AA23" s="485" t="str">
        <f t="shared" si="81"/>
        <v/>
      </c>
      <c r="AB23" s="546">
        <f t="shared" si="79"/>
        <v>0</v>
      </c>
      <c r="AC23" s="546">
        <f t="shared" si="79"/>
        <v>0</v>
      </c>
      <c r="AD23" s="424">
        <f t="shared" si="53"/>
        <v>0</v>
      </c>
      <c r="AE23" s="547"/>
      <c r="AF23" s="33"/>
      <c r="CN23">
        <v>20</v>
      </c>
      <c r="CP23" s="392">
        <v>34580</v>
      </c>
      <c r="CQ23" s="394" t="s">
        <v>570</v>
      </c>
      <c r="CR23">
        <v>51320</v>
      </c>
      <c r="CS23" s="629" t="s">
        <v>10</v>
      </c>
      <c r="CV23" t="str">
        <f t="shared" si="21"/>
        <v>Oct-2026</v>
      </c>
      <c r="CW23" s="5">
        <f t="shared" si="43"/>
        <v>46296</v>
      </c>
      <c r="CX23" s="5">
        <f t="shared" si="22"/>
        <v>46326</v>
      </c>
      <c r="CY23" s="4"/>
      <c r="DA23" s="1">
        <v>1</v>
      </c>
      <c r="DB23" s="5">
        <f>IFERROR(BY4 - DAY(BY4) + 1,"")</f>
        <v>45047</v>
      </c>
      <c r="DC23" s="5">
        <f>IFERROR(SMALL(($DA$15:$DA$19,$DB$15:$DB$19,$DC$15:$DC$19),CN4),"")</f>
        <v>45047</v>
      </c>
      <c r="DE23" s="1" t="str">
        <f t="shared" si="4"/>
        <v/>
      </c>
      <c r="DF23" s="4">
        <f t="shared" si="5"/>
        <v>46296</v>
      </c>
      <c r="DG23" t="str">
        <f t="shared" si="6"/>
        <v/>
      </c>
      <c r="DH23" s="4">
        <f t="shared" si="23"/>
        <v>46326</v>
      </c>
      <c r="DI23">
        <f>IFERROR(IF(AND($CS$3=2,DJ23="AGI",INDEX($DJ$4:$DJ$56,MATCH($DR$1,$DJ$4:DJ23,0),1)=$DR$1),2,0),0)</f>
        <v>0</v>
      </c>
      <c r="DJ23" s="1" t="str">
        <f t="shared" si="24"/>
        <v/>
      </c>
      <c r="DK23" s="5" t="str">
        <f t="shared" si="25"/>
        <v/>
      </c>
      <c r="DL23" s="222" t="str">
        <f t="shared" si="26"/>
        <v/>
      </c>
      <c r="DM23" s="225">
        <f t="shared" si="44"/>
        <v>0</v>
      </c>
      <c r="DN23" s="11">
        <f t="shared" si="27"/>
        <v>74770</v>
      </c>
      <c r="DO23" s="11" t="str">
        <f t="shared" si="28"/>
        <v/>
      </c>
      <c r="DP23" s="233">
        <f t="shared" si="45"/>
        <v>74770</v>
      </c>
      <c r="DQ23" s="229" t="str">
        <f t="shared" si="7"/>
        <v/>
      </c>
      <c r="DS23" s="1">
        <f t="shared" si="29"/>
        <v>0</v>
      </c>
      <c r="DT23" s="1">
        <f t="shared" si="30"/>
        <v>74770</v>
      </c>
      <c r="DV23" s="1" t="str">
        <f t="shared" si="8"/>
        <v/>
      </c>
      <c r="DW23" s="1" t="str">
        <f t="shared" si="31"/>
        <v/>
      </c>
      <c r="DX23" s="1" t="str">
        <f t="shared" si="32"/>
        <v/>
      </c>
      <c r="DY23" s="5" t="str">
        <f t="shared" si="46"/>
        <v/>
      </c>
      <c r="DZ23" s="5" t="str">
        <f t="shared" si="33"/>
        <v/>
      </c>
      <c r="EA23" s="1" t="str">
        <f t="shared" si="34"/>
        <v/>
      </c>
      <c r="EB23" s="404">
        <f t="shared" si="47"/>
        <v>0</v>
      </c>
      <c r="EC23" s="421" t="str">
        <f t="shared" si="35"/>
        <v/>
      </c>
      <c r="ED23">
        <f t="shared" si="36"/>
        <v>0</v>
      </c>
      <c r="EE23" s="18">
        <f t="shared" si="37"/>
        <v>0</v>
      </c>
      <c r="EF23" s="1" t="str">
        <f t="shared" si="48"/>
        <v/>
      </c>
      <c r="EG23" s="1" t="str">
        <f t="shared" si="9"/>
        <v/>
      </c>
      <c r="EH23" s="1" t="str">
        <f t="shared" si="38"/>
        <v/>
      </c>
      <c r="EI23" s="88"/>
      <c r="EJ23" t="str">
        <f t="shared" si="39"/>
        <v/>
      </c>
      <c r="EM23" s="396"/>
      <c r="EO23" s="301"/>
      <c r="EP23" s="1">
        <f t="shared" si="10"/>
        <v>0</v>
      </c>
      <c r="EQ23" s="1">
        <f t="shared" si="11"/>
        <v>0</v>
      </c>
      <c r="EU23" s="1">
        <f t="shared" si="12"/>
        <v>0</v>
      </c>
      <c r="EV23" s="1">
        <f t="shared" si="13"/>
        <v>0</v>
      </c>
      <c r="EZ23" s="1">
        <f t="shared" si="14"/>
        <v>0</v>
      </c>
      <c r="FA23" s="1">
        <f t="shared" si="15"/>
        <v>0</v>
      </c>
      <c r="FE23" s="8"/>
      <c r="FF23" s="8"/>
      <c r="FJ23" s="8"/>
      <c r="FK23" s="8"/>
      <c r="FY23" s="1">
        <v>87481</v>
      </c>
      <c r="FZ23" s="1">
        <v>1375</v>
      </c>
      <c r="GA23" s="1">
        <v>1600</v>
      </c>
      <c r="GB23" s="1">
        <v>1800</v>
      </c>
      <c r="GL23" t="s">
        <v>147</v>
      </c>
    </row>
    <row r="24" spans="1:194" ht="24.6" customHeight="1" x14ac:dyDescent="0.25">
      <c r="A24" s="1062"/>
      <c r="B24" s="1032" t="s">
        <v>119</v>
      </c>
      <c r="C24" s="1032"/>
      <c r="D24" s="1032"/>
      <c r="E24" s="1032"/>
      <c r="F24" s="1032"/>
      <c r="G24" s="1032"/>
      <c r="H24" s="1032"/>
      <c r="I24" s="517"/>
      <c r="J24" s="33"/>
      <c r="K24" s="588" t="s">
        <v>1127</v>
      </c>
      <c r="L24" s="531" t="s">
        <v>1115</v>
      </c>
      <c r="M24" s="159">
        <v>3000</v>
      </c>
      <c r="N24" s="159"/>
      <c r="O24" s="608"/>
      <c r="P24" s="612"/>
      <c r="Q24" s="1102"/>
      <c r="R24" s="1103"/>
      <c r="S24" s="601"/>
      <c r="W24" s="33"/>
      <c r="X24" s="484" t="str">
        <f t="shared" si="78"/>
        <v/>
      </c>
      <c r="Y24" s="484" t="str">
        <f t="shared" si="78"/>
        <v/>
      </c>
      <c r="Z24" s="485" t="str">
        <f t="shared" si="80"/>
        <v/>
      </c>
      <c r="AA24" s="485" t="str">
        <f t="shared" si="81"/>
        <v/>
      </c>
      <c r="AB24" s="546">
        <f t="shared" si="79"/>
        <v>0</v>
      </c>
      <c r="AC24" s="546">
        <f t="shared" si="79"/>
        <v>0</v>
      </c>
      <c r="AD24" s="424">
        <f t="shared" si="53"/>
        <v>0</v>
      </c>
      <c r="AE24" s="547"/>
      <c r="AF24" s="33"/>
      <c r="CN24">
        <v>21</v>
      </c>
      <c r="CP24" s="392">
        <v>35570</v>
      </c>
      <c r="CQ24" s="394" t="s">
        <v>571</v>
      </c>
      <c r="CR24">
        <v>54220</v>
      </c>
      <c r="CS24" s="629">
        <v>0</v>
      </c>
      <c r="CV24" t="str">
        <f t="shared" si="21"/>
        <v>Nov-2026</v>
      </c>
      <c r="CW24" s="5">
        <f t="shared" si="43"/>
        <v>46327</v>
      </c>
      <c r="CX24" s="5">
        <f t="shared" si="22"/>
        <v>46356</v>
      </c>
      <c r="CY24" s="4"/>
      <c r="DA24" s="1">
        <v>2</v>
      </c>
      <c r="DB24" s="5">
        <f t="shared" ref="DB24:DB37" si="83">IFERROR(BY5 - DAY(BY5) + 1,"")</f>
        <v>45413</v>
      </c>
      <c r="DC24" s="5">
        <f>IFERROR(SMALL(($DA$15:$DA$19,$DB$15:$DB$19,$DC$15:$DC$19),CN5),"")</f>
        <v>45413</v>
      </c>
      <c r="DE24" s="1" t="str">
        <f t="shared" si="4"/>
        <v/>
      </c>
      <c r="DF24" s="4">
        <f t="shared" si="5"/>
        <v>46327</v>
      </c>
      <c r="DG24" t="str">
        <f t="shared" si="6"/>
        <v/>
      </c>
      <c r="DH24" s="4">
        <f t="shared" si="23"/>
        <v>46356</v>
      </c>
      <c r="DI24">
        <f>IFERROR(IF(AND($CS$3=2,DJ24="AGI",INDEX($DJ$4:$DJ$56,MATCH($DR$1,$DJ$4:DJ24,0),1)=$DR$1),2,0),0)</f>
        <v>0</v>
      </c>
      <c r="DJ24" s="1" t="str">
        <f t="shared" si="24"/>
        <v/>
      </c>
      <c r="DK24" s="5" t="str">
        <f t="shared" si="25"/>
        <v/>
      </c>
      <c r="DL24" s="222" t="str">
        <f t="shared" si="26"/>
        <v/>
      </c>
      <c r="DM24" s="225">
        <f t="shared" si="44"/>
        <v>0</v>
      </c>
      <c r="DN24" s="11">
        <f t="shared" si="27"/>
        <v>74770</v>
      </c>
      <c r="DO24" s="11" t="str">
        <f t="shared" si="28"/>
        <v/>
      </c>
      <c r="DP24" s="233">
        <f t="shared" si="45"/>
        <v>74770</v>
      </c>
      <c r="DQ24" s="229" t="str">
        <f t="shared" si="7"/>
        <v/>
      </c>
      <c r="DS24" s="1">
        <f t="shared" si="29"/>
        <v>0</v>
      </c>
      <c r="DT24" s="1">
        <f t="shared" si="30"/>
        <v>74770</v>
      </c>
      <c r="DV24" s="1" t="str">
        <f t="shared" si="8"/>
        <v/>
      </c>
      <c r="DW24" s="1" t="str">
        <f t="shared" si="31"/>
        <v/>
      </c>
      <c r="DX24" s="1" t="str">
        <f t="shared" si="32"/>
        <v/>
      </c>
      <c r="DY24" s="5" t="str">
        <f t="shared" si="46"/>
        <v/>
      </c>
      <c r="DZ24" s="5" t="str">
        <f t="shared" si="33"/>
        <v/>
      </c>
      <c r="EA24" s="1" t="str">
        <f t="shared" si="34"/>
        <v/>
      </c>
      <c r="EB24" s="404">
        <f t="shared" si="47"/>
        <v>0</v>
      </c>
      <c r="EC24" s="421" t="str">
        <f t="shared" si="35"/>
        <v/>
      </c>
      <c r="ED24">
        <f t="shared" si="36"/>
        <v>0</v>
      </c>
      <c r="EE24" s="18">
        <f t="shared" si="37"/>
        <v>0</v>
      </c>
      <c r="EF24" s="1" t="str">
        <f t="shared" si="48"/>
        <v/>
      </c>
      <c r="EG24" s="1" t="str">
        <f t="shared" si="9"/>
        <v/>
      </c>
      <c r="EH24" s="1" t="str">
        <f t="shared" si="38"/>
        <v/>
      </c>
      <c r="EI24" s="88"/>
      <c r="EJ24" t="str">
        <f t="shared" si="39"/>
        <v/>
      </c>
      <c r="EM24" s="396"/>
      <c r="EO24" s="301"/>
      <c r="EP24" s="1">
        <f t="shared" si="10"/>
        <v>0</v>
      </c>
      <c r="EQ24" s="1">
        <f t="shared" si="11"/>
        <v>0</v>
      </c>
      <c r="EU24" s="1">
        <f t="shared" si="12"/>
        <v>0</v>
      </c>
      <c r="EV24" s="1">
        <f t="shared" si="13"/>
        <v>0</v>
      </c>
      <c r="EZ24" s="1">
        <f t="shared" si="14"/>
        <v>0</v>
      </c>
      <c r="FA24" s="1">
        <f t="shared" si="15"/>
        <v>0</v>
      </c>
      <c r="FE24" s="8"/>
      <c r="FF24" s="8"/>
      <c r="FJ24" s="8"/>
      <c r="FK24" s="8"/>
      <c r="GI24">
        <v>1</v>
      </c>
      <c r="GJ24" t="s">
        <v>132</v>
      </c>
      <c r="GK24" t="s">
        <v>133</v>
      </c>
      <c r="GL24">
        <v>150000</v>
      </c>
    </row>
    <row r="25" spans="1:194" ht="24.6" customHeight="1" x14ac:dyDescent="0.25">
      <c r="A25" s="1062"/>
      <c r="B25" s="1032" t="s">
        <v>135</v>
      </c>
      <c r="C25" s="1032"/>
      <c r="D25" s="1032"/>
      <c r="E25" s="1032"/>
      <c r="F25" s="1032"/>
      <c r="G25" s="1032"/>
      <c r="H25" s="1032"/>
      <c r="I25" s="517"/>
      <c r="J25" s="33"/>
      <c r="K25" s="1078" t="s">
        <v>8</v>
      </c>
      <c r="L25" s="1079"/>
      <c r="M25" s="513">
        <v>120</v>
      </c>
      <c r="N25" s="513"/>
      <c r="O25" s="608"/>
      <c r="P25" s="612"/>
      <c r="Q25" s="1102" t="s">
        <v>691</v>
      </c>
      <c r="R25" s="1103"/>
      <c r="S25" s="601"/>
      <c r="W25" s="33"/>
      <c r="X25" s="484" t="str">
        <f t="shared" si="78"/>
        <v/>
      </c>
      <c r="Y25" s="484" t="str">
        <f t="shared" si="78"/>
        <v/>
      </c>
      <c r="Z25" s="485" t="str">
        <f t="shared" si="80"/>
        <v/>
      </c>
      <c r="AA25" s="485" t="str">
        <f t="shared" si="81"/>
        <v/>
      </c>
      <c r="AB25" s="546">
        <f t="shared" si="79"/>
        <v>0</v>
      </c>
      <c r="AC25" s="546">
        <f t="shared" si="79"/>
        <v>0</v>
      </c>
      <c r="AD25" s="424">
        <f t="shared" si="53"/>
        <v>0</v>
      </c>
      <c r="AE25" s="547"/>
      <c r="AF25" s="33"/>
      <c r="CN25">
        <v>22</v>
      </c>
      <c r="CP25" s="392">
        <v>36560</v>
      </c>
      <c r="CQ25" s="394" t="s">
        <v>572</v>
      </c>
      <c r="CR25">
        <v>58850</v>
      </c>
      <c r="CS25" s="629">
        <v>90</v>
      </c>
      <c r="CV25" t="str">
        <f t="shared" si="21"/>
        <v>Dec-2026</v>
      </c>
      <c r="CW25" s="5">
        <f t="shared" si="43"/>
        <v>46357</v>
      </c>
      <c r="CX25" s="5">
        <f t="shared" si="22"/>
        <v>46387</v>
      </c>
      <c r="CY25" s="4"/>
      <c r="DA25" s="1">
        <v>3</v>
      </c>
      <c r="DB25" s="5">
        <f t="shared" si="83"/>
        <v>45778</v>
      </c>
      <c r="DC25" s="5">
        <f>IFERROR(SMALL(($DA$15:$DA$19,$DB$15:$DB$19,$DC$15:$DC$19),CN6),"")</f>
        <v>45778</v>
      </c>
      <c r="DE25" s="1" t="str">
        <f t="shared" si="4"/>
        <v/>
      </c>
      <c r="DF25" s="4">
        <f t="shared" si="5"/>
        <v>46357</v>
      </c>
      <c r="DG25" t="str">
        <f t="shared" si="6"/>
        <v/>
      </c>
      <c r="DH25" s="4">
        <f t="shared" si="23"/>
        <v>46387</v>
      </c>
      <c r="DI25">
        <f>IFERROR(IF(AND($CS$3=2,DJ25="AGI",INDEX($DJ$4:$DJ$56,MATCH($DR$1,$DJ$4:DJ25,0),1)=$DR$1),2,0),0)</f>
        <v>0</v>
      </c>
      <c r="DJ25" s="1" t="str">
        <f>IFERROR(IF(AND(NOT($DE$51=""),DK25=$DE$51),$DG$51,IF(AND(NOT($DE$53=""),DK25=$DE$53),$DG$53,INDEX($DG$4:$DG$58,MATCH(DK25,$DF$4:$DF$58,0),1))),"")</f>
        <v/>
      </c>
      <c r="DK25" s="5" t="str">
        <f t="shared" si="25"/>
        <v/>
      </c>
      <c r="DL25" s="222" t="str">
        <f t="shared" si="26"/>
        <v/>
      </c>
      <c r="DM25" s="225">
        <f t="shared" si="44"/>
        <v>0</v>
      </c>
      <c r="DN25" s="11">
        <f t="shared" si="27"/>
        <v>74770</v>
      </c>
      <c r="DO25" s="11" t="str">
        <f t="shared" si="28"/>
        <v/>
      </c>
      <c r="DP25" s="233">
        <f t="shared" si="45"/>
        <v>74770</v>
      </c>
      <c r="DQ25" s="229" t="str">
        <f t="shared" si="7"/>
        <v/>
      </c>
      <c r="DS25" s="1">
        <f t="shared" si="29"/>
        <v>0</v>
      </c>
      <c r="DT25" s="1">
        <f t="shared" si="30"/>
        <v>74770</v>
      </c>
      <c r="DV25" s="1" t="str">
        <f t="shared" si="8"/>
        <v/>
      </c>
      <c r="DW25" s="1" t="str">
        <f t="shared" si="31"/>
        <v/>
      </c>
      <c r="DX25" s="1" t="str">
        <f t="shared" si="32"/>
        <v/>
      </c>
      <c r="DY25" s="5" t="str">
        <f t="shared" si="46"/>
        <v/>
      </c>
      <c r="DZ25" s="5" t="str">
        <f t="shared" si="33"/>
        <v/>
      </c>
      <c r="EA25" s="1" t="str">
        <f t="shared" si="34"/>
        <v/>
      </c>
      <c r="EB25" s="404">
        <f t="shared" si="47"/>
        <v>0</v>
      </c>
      <c r="EC25" s="421" t="str">
        <f t="shared" si="35"/>
        <v/>
      </c>
      <c r="ED25">
        <f t="shared" si="36"/>
        <v>0</v>
      </c>
      <c r="EE25" s="18">
        <f t="shared" si="37"/>
        <v>0</v>
      </c>
      <c r="EF25" s="1" t="str">
        <f t="shared" si="48"/>
        <v/>
      </c>
      <c r="EG25" s="1" t="str">
        <f t="shared" si="9"/>
        <v/>
      </c>
      <c r="EH25" s="1" t="str">
        <f t="shared" si="38"/>
        <v/>
      </c>
      <c r="EI25" s="88"/>
      <c r="EJ25" t="str">
        <f t="shared" si="39"/>
        <v/>
      </c>
      <c r="EO25" s="301"/>
      <c r="EP25" s="1">
        <f t="shared" si="10"/>
        <v>0</v>
      </c>
      <c r="EQ25" s="1">
        <f t="shared" si="11"/>
        <v>0</v>
      </c>
      <c r="EU25" s="1">
        <f t="shared" si="12"/>
        <v>0</v>
      </c>
      <c r="EV25" s="1">
        <f t="shared" si="13"/>
        <v>0</v>
      </c>
      <c r="EZ25" s="1">
        <f t="shared" si="14"/>
        <v>0</v>
      </c>
      <c r="FA25" s="1">
        <f t="shared" si="15"/>
        <v>0</v>
      </c>
      <c r="FE25" s="8"/>
      <c r="FF25" s="8"/>
      <c r="FJ25" s="8"/>
      <c r="FK25" s="8"/>
      <c r="FY25" s="1" t="s">
        <v>67</v>
      </c>
      <c r="FZ25" s="1"/>
      <c r="GA25" s="1" t="s">
        <v>82</v>
      </c>
      <c r="GB25" s="1" t="s">
        <v>83</v>
      </c>
      <c r="GC25" s="1" t="s">
        <v>84</v>
      </c>
      <c r="GD25" s="424" t="str">
        <f>K19</f>
        <v>Reader Allowance</v>
      </c>
      <c r="GE25" s="424" t="str">
        <f>K20</f>
        <v>Uniform Allowance</v>
      </c>
      <c r="GF25" s="1" t="str">
        <f>K21</f>
        <v>Others</v>
      </c>
      <c r="GI25">
        <v>2</v>
      </c>
      <c r="GJ25" t="s">
        <v>132</v>
      </c>
      <c r="GK25" t="s">
        <v>120</v>
      </c>
      <c r="GL25">
        <v>150000</v>
      </c>
    </row>
    <row r="26" spans="1:194" ht="24.6" customHeight="1" x14ac:dyDescent="0.25">
      <c r="A26" s="1063"/>
      <c r="B26" s="1033" t="s">
        <v>124</v>
      </c>
      <c r="C26" s="1033"/>
      <c r="D26" s="1033"/>
      <c r="E26" s="1033"/>
      <c r="F26" s="1033"/>
      <c r="G26" s="1033"/>
      <c r="H26" s="1033"/>
      <c r="I26" s="517"/>
      <c r="J26" s="33"/>
      <c r="K26" s="1080" t="s">
        <v>11</v>
      </c>
      <c r="L26" s="1081"/>
      <c r="M26" s="379"/>
      <c r="N26" s="379"/>
      <c r="O26" s="608"/>
      <c r="P26" s="612"/>
      <c r="Q26" s="1102"/>
      <c r="R26" s="1103"/>
      <c r="S26" s="601"/>
      <c r="W26" s="33"/>
      <c r="X26" s="484" t="str">
        <f t="shared" ref="X26:Y29" si="84">DK24</f>
        <v/>
      </c>
      <c r="Y26" s="484" t="str">
        <f t="shared" si="84"/>
        <v/>
      </c>
      <c r="Z26" s="485" t="str">
        <f t="shared" si="80"/>
        <v/>
      </c>
      <c r="AA26" s="485" t="str">
        <f t="shared" si="81"/>
        <v/>
      </c>
      <c r="AB26" s="546">
        <f t="shared" ref="AB26:AC29" si="85">EP24</f>
        <v>0</v>
      </c>
      <c r="AC26" s="546">
        <f t="shared" si="85"/>
        <v>0</v>
      </c>
      <c r="AD26" s="424">
        <f t="shared" si="53"/>
        <v>0</v>
      </c>
      <c r="AE26" s="547"/>
      <c r="AF26" s="33"/>
      <c r="CI26" t="s">
        <v>94</v>
      </c>
      <c r="CJ26" t="str">
        <f>LEFT(M13,FIND(".",M13)-1)</f>
        <v>01</v>
      </c>
      <c r="CK26" t="str">
        <f>TRIM(LEFT(SUBSTITUTE(MID(M13,FIND("|",SUBSTITUTE(M13,".","|",1))+1,LEN(M13)),".",REPT(" ",LEN(M13))),LEN(M13)))</f>
        <v>03</v>
      </c>
      <c r="CL26" t="str">
        <f>TRIM(LEFT(SUBSTITUTE(MID(M13,FIND("|",SUBSTITUTE(M13,".","|",2))+1,LEN(M13)),".",REPT(" ",LEN(M13))),LEN(M13)))</f>
        <v>2025</v>
      </c>
      <c r="CM26" s="10">
        <f>IFERROR(DATE(CL26,CK26,CJ26),DATE(CH2,3,1))</f>
        <v>45717</v>
      </c>
      <c r="CN26">
        <v>23</v>
      </c>
      <c r="CP26" s="392">
        <v>37640</v>
      </c>
      <c r="CQ26" s="394" t="s">
        <v>573</v>
      </c>
      <c r="CR26">
        <v>62110</v>
      </c>
      <c r="CS26" s="629">
        <v>120</v>
      </c>
      <c r="CV26" t="str">
        <f t="shared" si="21"/>
        <v>Jan-2027</v>
      </c>
      <c r="CW26" s="5">
        <f t="shared" si="43"/>
        <v>46388</v>
      </c>
      <c r="CX26" s="5">
        <f t="shared" si="22"/>
        <v>46418</v>
      </c>
      <c r="CY26" s="4"/>
      <c r="DA26" s="1">
        <v>4</v>
      </c>
      <c r="DB26" s="5">
        <f t="shared" si="83"/>
        <v>46143</v>
      </c>
      <c r="DC26" s="5">
        <f>IFERROR(SMALL(($DA$15:$DA$19,$DB$15:$DB$19,$DC$15:$DC$19),CN7),"")</f>
        <v>46143</v>
      </c>
      <c r="DE26" s="1" t="str">
        <f t="shared" si="4"/>
        <v/>
      </c>
      <c r="DF26" s="4">
        <f t="shared" si="5"/>
        <v>46388</v>
      </c>
      <c r="DG26" t="str">
        <f t="shared" si="6"/>
        <v/>
      </c>
      <c r="DH26" s="4">
        <f t="shared" si="23"/>
        <v>46418</v>
      </c>
      <c r="DI26">
        <f>IFERROR(IF(AND($CS$3=2,DJ26="AGI",INDEX($DJ$4:$DJ$56,MATCH($DR$1,$DJ$4:DJ26,0),1)=$DR$1),2,0),0)</f>
        <v>0</v>
      </c>
      <c r="DJ26" s="1" t="str">
        <f>IFERROR(IF(AND(NOT($DE$51=""),DK26=$DE$51),$DG$51,IF(AND(NOT($DE$53=""),DK26=$DE$53),$DG$53,INDEX($DG$4:$DG$58,MATCH(DK26,$DF$4:$DF$58,0),1))),"")</f>
        <v/>
      </c>
      <c r="DK26" s="5" t="str">
        <f t="shared" si="25"/>
        <v/>
      </c>
      <c r="DL26" s="222" t="str">
        <f t="shared" si="26"/>
        <v/>
      </c>
      <c r="DM26" s="225">
        <f t="shared" si="44"/>
        <v>0</v>
      </c>
      <c r="DN26" s="11">
        <f t="shared" si="27"/>
        <v>74770</v>
      </c>
      <c r="DO26" s="11" t="str">
        <f t="shared" si="28"/>
        <v/>
      </c>
      <c r="DP26" s="233">
        <f t="shared" si="45"/>
        <v>74770</v>
      </c>
      <c r="DQ26" s="229" t="str">
        <f t="shared" si="7"/>
        <v/>
      </c>
      <c r="DS26" s="1">
        <f t="shared" si="29"/>
        <v>0</v>
      </c>
      <c r="DT26" s="1">
        <f t="shared" si="30"/>
        <v>74770</v>
      </c>
      <c r="DV26" s="1" t="str">
        <f t="shared" si="8"/>
        <v/>
      </c>
      <c r="DW26" s="1" t="str">
        <f t="shared" si="31"/>
        <v/>
      </c>
      <c r="DX26" s="1" t="str">
        <f t="shared" si="32"/>
        <v/>
      </c>
      <c r="DY26" s="5" t="str">
        <f t="shared" si="46"/>
        <v/>
      </c>
      <c r="DZ26" s="5" t="str">
        <f t="shared" si="33"/>
        <v/>
      </c>
      <c r="EA26" s="1" t="str">
        <f t="shared" si="34"/>
        <v/>
      </c>
      <c r="EB26" s="404">
        <f t="shared" si="47"/>
        <v>0</v>
      </c>
      <c r="EC26" s="421" t="str">
        <f t="shared" si="35"/>
        <v/>
      </c>
      <c r="ED26">
        <f t="shared" si="36"/>
        <v>0</v>
      </c>
      <c r="EE26" s="18">
        <f t="shared" si="37"/>
        <v>0</v>
      </c>
      <c r="EF26" s="1" t="str">
        <f>IFERROR(IF(AND(LEFT(DJ26,3)="S/L",EH26=15),ROUND(DT26*0.5,0),IF(DJ26=$DJ$59,$DL$61,IF(DJ26=$DJ$64,$DL$66,ROUND(SUM(EH26/EG26)*DT26,0)))),"")</f>
        <v/>
      </c>
      <c r="EG26" s="1" t="str">
        <f t="shared" si="9"/>
        <v/>
      </c>
      <c r="EH26" s="1" t="str">
        <f t="shared" si="38"/>
        <v/>
      </c>
      <c r="EI26" s="88"/>
      <c r="EJ26" t="str">
        <f t="shared" si="39"/>
        <v/>
      </c>
      <c r="EO26" s="301"/>
      <c r="EP26" s="1">
        <f t="shared" si="10"/>
        <v>0</v>
      </c>
      <c r="EQ26" s="1">
        <f t="shared" si="11"/>
        <v>0</v>
      </c>
      <c r="EU26" s="1">
        <f t="shared" si="12"/>
        <v>0</v>
      </c>
      <c r="EV26" s="1">
        <f t="shared" si="13"/>
        <v>0</v>
      </c>
      <c r="EZ26" s="1">
        <f t="shared" si="14"/>
        <v>0</v>
      </c>
      <c r="FA26" s="1">
        <f t="shared" si="15"/>
        <v>0</v>
      </c>
      <c r="FE26" s="8"/>
      <c r="FF26" s="8"/>
      <c r="FJ26" s="8"/>
      <c r="FK26" s="8"/>
      <c r="FY26" s="400">
        <f>CW4</f>
        <v>45717</v>
      </c>
      <c r="FZ26" s="1">
        <f>M15</f>
        <v>10</v>
      </c>
      <c r="GA26" s="1">
        <f>IF(OR(FY26="",M16=$FY$10),0,MATCH(M16,$FZ$10:$GB$10,0))</f>
        <v>0</v>
      </c>
      <c r="GB26" s="1">
        <f>IF(M18="Yes",8,0)</f>
        <v>0</v>
      </c>
      <c r="GC26" s="1">
        <f>IF(OR(FY26="",M17=FY17),0,MATCH(M17,FZ17:GB17,0))</f>
        <v>0</v>
      </c>
      <c r="GD26" s="389">
        <f>M19</f>
        <v>0</v>
      </c>
      <c r="GE26" s="389">
        <f>M20</f>
        <v>0</v>
      </c>
      <c r="GF26" s="1">
        <f>M21</f>
        <v>0</v>
      </c>
      <c r="GI26">
        <v>3</v>
      </c>
      <c r="GJ26" t="s">
        <v>132</v>
      </c>
      <c r="GK26" t="s">
        <v>134</v>
      </c>
      <c r="GL26">
        <v>150000</v>
      </c>
    </row>
    <row r="27" spans="1:194" ht="18.399999999999999" customHeight="1" x14ac:dyDescent="0.25">
      <c r="A27" s="1110" t="s">
        <v>711</v>
      </c>
      <c r="B27" s="1100" t="s">
        <v>778</v>
      </c>
      <c r="C27" s="1100"/>
      <c r="D27" s="1100"/>
      <c r="E27" s="1100"/>
      <c r="F27" s="1100"/>
      <c r="G27" s="1100"/>
      <c r="H27" s="1101"/>
      <c r="I27" s="586" t="s">
        <v>118</v>
      </c>
      <c r="J27" s="799" t="s">
        <v>1052</v>
      </c>
      <c r="K27" s="1072" t="s">
        <v>10</v>
      </c>
      <c r="L27" s="1073"/>
      <c r="M27" s="513">
        <v>0</v>
      </c>
      <c r="N27" s="513"/>
      <c r="O27" s="608"/>
      <c r="P27" s="612"/>
      <c r="Q27" s="1102" t="s">
        <v>694</v>
      </c>
      <c r="R27" s="1103"/>
      <c r="S27" s="601"/>
      <c r="W27" s="33"/>
      <c r="X27" s="484" t="str">
        <f t="shared" si="84"/>
        <v/>
      </c>
      <c r="Y27" s="484" t="str">
        <f t="shared" si="84"/>
        <v/>
      </c>
      <c r="Z27" s="485" t="str">
        <f t="shared" si="80"/>
        <v/>
      </c>
      <c r="AA27" s="485" t="str">
        <f t="shared" si="81"/>
        <v/>
      </c>
      <c r="AB27" s="546">
        <f t="shared" si="85"/>
        <v>0</v>
      </c>
      <c r="AC27" s="546">
        <f t="shared" si="85"/>
        <v>0</v>
      </c>
      <c r="AD27" s="424">
        <f t="shared" si="53"/>
        <v>0</v>
      </c>
      <c r="AE27" s="547"/>
      <c r="AF27" s="33"/>
      <c r="CH27" s="23">
        <f>IFERROR(IF(N15="","",IF(AND(N15=$CS$36,N16=$FY$10,N17=$FY$17,N18=$CS$9,OR(M19=N19,N19=""),OR(M20=N20,N20=""),OR(M21=N21,N21="")),"",1)),"")</f>
        <v>1</v>
      </c>
      <c r="CI27" t="s">
        <v>95</v>
      </c>
      <c r="CJ27" t="e">
        <f>LEFT(N13,FIND(".",N13)-1)</f>
        <v>#VALUE!</v>
      </c>
      <c r="CK27" t="e">
        <f>TRIM(LEFT(SUBSTITUTE(MID(N13,FIND("|",SUBSTITUTE(N13,".","|",1))+1,LEN(N13)),".",REPT(" ",LEN(N13))),LEN(N13)))</f>
        <v>#VALUE!</v>
      </c>
      <c r="CL27" t="e">
        <f>TRIM(LEFT(SUBSTITUTE(MID(N13,FIND("|",SUBSTITUTE(N13,".","|",2))+1,LEN(N13)),".",REPT(" ",LEN(N13))),LEN(N13)))</f>
        <v>#VALUE!</v>
      </c>
      <c r="CM27" s="10" t="str">
        <f>IFERROR(IF(CH27="","",IF(AND(ISERROR(DATE(CL27,CK27,CJ27)),NOT(N13="")),DATE(YEAR(N13),MONTH(N13),DAY(N13)),DATE(CL27,CK27,CJ27))),"")</f>
        <v/>
      </c>
      <c r="CN27">
        <v>24</v>
      </c>
      <c r="CP27" s="392">
        <v>38720</v>
      </c>
      <c r="CQ27" s="394" t="s">
        <v>574</v>
      </c>
      <c r="CR27">
        <v>67300</v>
      </c>
      <c r="CS27" s="629">
        <v>225</v>
      </c>
      <c r="CV27" t="str">
        <f t="shared" si="21"/>
        <v>Feb-2027</v>
      </c>
      <c r="CW27" s="5">
        <f t="shared" si="43"/>
        <v>46419</v>
      </c>
      <c r="CX27" s="5">
        <f t="shared" si="22"/>
        <v>46446</v>
      </c>
      <c r="CY27" s="4"/>
      <c r="DA27" s="1">
        <v>5</v>
      </c>
      <c r="DB27" s="5" t="str">
        <f t="shared" si="83"/>
        <v/>
      </c>
      <c r="DC27" s="5" t="str">
        <f>IFERROR(SMALL(($DA$15:$DA$19,$DB$15:$DB$19,$DC$15:$DC$19),CN8),"")</f>
        <v/>
      </c>
      <c r="DE27" s="1" t="str">
        <f t="shared" si="4"/>
        <v/>
      </c>
      <c r="DF27" s="4">
        <f t="shared" si="5"/>
        <v>46419</v>
      </c>
      <c r="DG27" t="str">
        <f t="shared" si="6"/>
        <v/>
      </c>
      <c r="DH27" s="4">
        <f t="shared" si="23"/>
        <v>46446</v>
      </c>
      <c r="DI27">
        <f>IFERROR(IF(AND($CS$3=2,DJ27="AGI",INDEX($DJ$4:$DJ$56,MATCH($DR$1,$DJ$4:DJ27,0),1)=$DR$1),2,0),0)</f>
        <v>0</v>
      </c>
      <c r="DJ27" s="1" t="str">
        <f>IFERROR(IF(AND(NOT($DE$51=""),DK27=$DE$51),$DG$51,IF(AND(NOT($DE$53=""),DK27=$DE$53),$DG$53,INDEX($DG$4:$DG$58,MATCH(DK27,$DF$4:$DF$58,0),1))),"")</f>
        <v/>
      </c>
      <c r="DK27" s="5" t="str">
        <f>IFERROR(IF(SMALL($DF$4:$DF$58,CN27)&gt;$CJ$2,"",SMALL($DF$4:$DF$58,CN27)),"")</f>
        <v/>
      </c>
      <c r="DL27" s="222" t="str">
        <f t="shared" si="26"/>
        <v/>
      </c>
      <c r="DM27" s="225">
        <f t="shared" si="44"/>
        <v>0</v>
      </c>
      <c r="DN27" s="11">
        <f>IF(DN26=$CP$2,$CP$2,IF(DK27&gt;=$DT$2,MAX($DU$2,INDEX($CP$4:$CP$89,MATCH(DN26,$CP$4:$CP$89,1)+DM27)),INDEX($CP$4:$CP$89,MATCH(DN26,$CP$4:$CP$89,1)+DM27)))</f>
        <v>74770</v>
      </c>
      <c r="DO27" s="11" t="str">
        <f t="shared" si="28"/>
        <v/>
      </c>
      <c r="DP27" s="233">
        <f t="shared" si="45"/>
        <v>74770</v>
      </c>
      <c r="DQ27" s="229" t="str">
        <f t="shared" si="7"/>
        <v/>
      </c>
      <c r="DS27" s="1">
        <f t="shared" si="29"/>
        <v>0</v>
      </c>
      <c r="DT27" s="1">
        <f t="shared" si="30"/>
        <v>74770</v>
      </c>
      <c r="DV27" s="1" t="str">
        <f t="shared" si="8"/>
        <v/>
      </c>
      <c r="DW27" s="1" t="str">
        <f t="shared" si="31"/>
        <v/>
      </c>
      <c r="DX27" s="1" t="str">
        <f t="shared" si="32"/>
        <v/>
      </c>
      <c r="DY27" s="5" t="str">
        <f t="shared" si="46"/>
        <v/>
      </c>
      <c r="DZ27" s="5" t="str">
        <f t="shared" si="33"/>
        <v/>
      </c>
      <c r="EA27" s="1" t="str">
        <f t="shared" si="34"/>
        <v/>
      </c>
      <c r="EB27" s="404">
        <f t="shared" si="47"/>
        <v>0</v>
      </c>
      <c r="EC27" s="421" t="str">
        <f t="shared" si="35"/>
        <v/>
      </c>
      <c r="ED27">
        <f t="shared" si="36"/>
        <v>0</v>
      </c>
      <c r="EE27" s="18">
        <f t="shared" si="37"/>
        <v>0</v>
      </c>
      <c r="EF27" s="1" t="str">
        <f>IFERROR(IF(AND(LEFT(DJ27,3)="S/L",EH27=15),ROUND(DT27*0.5,0),IF(DJ27=$DJ$59,$DL$61,IF(DJ27=$DJ$64,$DL$66,ROUND(SUM(EH27/EG27)*DT27,0)))),"")</f>
        <v/>
      </c>
      <c r="EG27" s="1" t="str">
        <f t="shared" si="9"/>
        <v/>
      </c>
      <c r="EH27" s="1" t="str">
        <f t="shared" si="38"/>
        <v/>
      </c>
      <c r="EI27" s="88"/>
      <c r="EJ27" t="str">
        <f t="shared" si="39"/>
        <v/>
      </c>
      <c r="EO27" s="301"/>
      <c r="EP27" s="1">
        <f t="shared" si="10"/>
        <v>0</v>
      </c>
      <c r="EQ27" s="1">
        <f t="shared" si="11"/>
        <v>0</v>
      </c>
      <c r="EU27" s="1">
        <f t="shared" si="12"/>
        <v>0</v>
      </c>
      <c r="EV27" s="1">
        <f t="shared" si="13"/>
        <v>0</v>
      </c>
      <c r="EZ27" s="1">
        <f t="shared" si="14"/>
        <v>0</v>
      </c>
      <c r="FA27" s="1">
        <f t="shared" si="15"/>
        <v>0</v>
      </c>
      <c r="FE27" s="8"/>
      <c r="FF27" s="8"/>
      <c r="FJ27" s="8"/>
      <c r="FK27" s="8"/>
      <c r="FY27" s="400">
        <f>CM26+0.00002</f>
        <v>45717.000019999999</v>
      </c>
      <c r="FZ27" s="1">
        <f>FZ26</f>
        <v>10</v>
      </c>
      <c r="GA27" s="1">
        <f t="shared" ref="GA27:GE27" si="86">GA26</f>
        <v>0</v>
      </c>
      <c r="GB27" s="1">
        <f t="shared" si="86"/>
        <v>0</v>
      </c>
      <c r="GC27" s="1">
        <f t="shared" si="86"/>
        <v>0</v>
      </c>
      <c r="GD27" s="389">
        <f t="shared" si="86"/>
        <v>0</v>
      </c>
      <c r="GE27" s="389">
        <f t="shared" si="86"/>
        <v>0</v>
      </c>
      <c r="GF27" s="1">
        <f t="shared" ref="GF27" si="87">GF26</f>
        <v>0</v>
      </c>
      <c r="GI27">
        <v>4</v>
      </c>
      <c r="GJ27" t="s">
        <v>132</v>
      </c>
      <c r="GK27" t="s">
        <v>135</v>
      </c>
      <c r="GL27">
        <v>150000</v>
      </c>
    </row>
    <row r="28" spans="1:194" ht="16.5" customHeight="1" x14ac:dyDescent="0.25">
      <c r="A28" s="1111"/>
      <c r="B28" s="1026" t="s">
        <v>536</v>
      </c>
      <c r="C28" s="1026"/>
      <c r="D28" s="1026"/>
      <c r="E28" s="1026"/>
      <c r="F28" s="1026"/>
      <c r="G28" s="1026"/>
      <c r="H28" s="1026"/>
      <c r="I28" s="518"/>
      <c r="J28" s="802">
        <f>IF(Sections!P46=1,"",IFERROR(200000+INDEX(Sections!$U$48:$U$49,MATCH(DATA!B28,Sections!$P$48:$P$49,0),1),200000))</f>
        <v>350000</v>
      </c>
      <c r="K28" s="1074" t="s">
        <v>724</v>
      </c>
      <c r="L28" s="1075"/>
      <c r="M28" s="379"/>
      <c r="N28" s="379"/>
      <c r="O28" s="608"/>
      <c r="P28" s="612"/>
      <c r="Q28" s="1102"/>
      <c r="R28" s="1103"/>
      <c r="S28" s="601"/>
      <c r="W28" s="33"/>
      <c r="X28" s="484" t="str">
        <f t="shared" si="84"/>
        <v/>
      </c>
      <c r="Y28" s="484" t="str">
        <f t="shared" si="84"/>
        <v/>
      </c>
      <c r="Z28" s="485" t="str">
        <f t="shared" si="80"/>
        <v/>
      </c>
      <c r="AA28" s="485" t="str">
        <f t="shared" si="81"/>
        <v/>
      </c>
      <c r="AB28" s="546">
        <f t="shared" si="85"/>
        <v>0</v>
      </c>
      <c r="AC28" s="546">
        <f t="shared" si="85"/>
        <v>0</v>
      </c>
      <c r="AD28" s="424">
        <f t="shared" si="53"/>
        <v>0</v>
      </c>
      <c r="AE28" s="547"/>
      <c r="AF28" s="33"/>
      <c r="CH28" s="23" t="str">
        <f>IFERROR(IF(OR(O15="",N13=""),"",IF(AND(O15=$CS$36,O16=$FY$10,O17=$FY$17,O18=$CS$9,OR(N19=O19,O19=""),OR(N20=O20,O20=""),OR(N21=O21,O21="")),"",1)),"")</f>
        <v/>
      </c>
      <c r="CI28" t="s">
        <v>95</v>
      </c>
      <c r="CJ28" t="e">
        <f>LEFT(O13,FIND(".",O13)-1)</f>
        <v>#VALUE!</v>
      </c>
      <c r="CK28" t="e">
        <f>TRIM(LEFT(SUBSTITUTE(MID(O13,FIND("|",SUBSTITUTE(O13,".","|",1))+1,LEN(O13)),".",REPT(" ",LEN(O13))),LEN(O13)))</f>
        <v>#VALUE!</v>
      </c>
      <c r="CL28" t="e">
        <f>TRIM(LEFT(SUBSTITUTE(MID(O13,FIND("|",SUBSTITUTE(O13,".","|",2))+1,LEN(O13)),".",REPT(" ",LEN(O13))),LEN(O13)))</f>
        <v>#VALUE!</v>
      </c>
      <c r="CM28" s="10" t="str">
        <f>IFERROR(IF(CH28="","",IF(AND(ISERROR(DATE(CL28,CK28,CJ28)),NOT(O13="")),DATE(YEAR(O13),MONTH(O13),DAY(O13)),DATE(CL28,CK28,CJ28))),"")</f>
        <v/>
      </c>
      <c r="CN28">
        <v>25</v>
      </c>
      <c r="CP28" s="392">
        <v>39800</v>
      </c>
      <c r="CQ28" s="394" t="s">
        <v>575</v>
      </c>
      <c r="CR28">
        <v>72850</v>
      </c>
      <c r="CS28" s="629">
        <v>300</v>
      </c>
      <c r="CV28" t="str">
        <f t="shared" si="21"/>
        <v>Mar-2027</v>
      </c>
      <c r="CW28" s="5">
        <f t="shared" si="43"/>
        <v>46447</v>
      </c>
      <c r="CX28" s="5">
        <f t="shared" si="22"/>
        <v>46477</v>
      </c>
      <c r="CY28" s="4"/>
      <c r="DA28" s="1">
        <v>6</v>
      </c>
      <c r="DB28" s="5" t="str">
        <f t="shared" si="83"/>
        <v/>
      </c>
      <c r="DC28" s="5" t="str">
        <f>IFERROR(SMALL(($DA$15:$DA$19,$DB$15:$DB$19,$DC$15:$DC$19),CN9),"")</f>
        <v/>
      </c>
      <c r="DE28" s="1" t="str">
        <f t="shared" si="4"/>
        <v/>
      </c>
      <c r="DF28" s="4">
        <f t="shared" si="5"/>
        <v>46447</v>
      </c>
      <c r="DG28" t="str">
        <f t="shared" si="6"/>
        <v/>
      </c>
      <c r="DH28" s="4">
        <f t="shared" si="23"/>
        <v>46477</v>
      </c>
      <c r="DI28">
        <f>IFERROR(IF(AND($CS$3=2,DJ28="AGI",INDEX($DJ$4:$DJ$56,MATCH($DR$1,$DJ$4:DJ28,0),1)=$DR$1),2,0),0)</f>
        <v>0</v>
      </c>
      <c r="DJ28" s="1" t="str">
        <f t="shared" si="24"/>
        <v/>
      </c>
      <c r="DK28" s="5" t="str">
        <f t="shared" si="25"/>
        <v/>
      </c>
      <c r="DL28" s="222" t="str">
        <f t="shared" si="26"/>
        <v/>
      </c>
      <c r="DM28" s="225">
        <f t="shared" si="44"/>
        <v>0</v>
      </c>
      <c r="DN28" s="11">
        <f t="shared" si="27"/>
        <v>74770</v>
      </c>
      <c r="DO28" s="11" t="str">
        <f t="shared" si="28"/>
        <v/>
      </c>
      <c r="DP28" s="233">
        <f t="shared" si="45"/>
        <v>74770</v>
      </c>
      <c r="DQ28" s="229" t="str">
        <f t="shared" si="7"/>
        <v/>
      </c>
      <c r="DS28" s="1">
        <f t="shared" si="29"/>
        <v>0</v>
      </c>
      <c r="DT28" s="1">
        <f t="shared" si="30"/>
        <v>74770</v>
      </c>
      <c r="DV28" s="1" t="str">
        <f t="shared" si="8"/>
        <v/>
      </c>
      <c r="DW28" s="1" t="str">
        <f t="shared" si="31"/>
        <v/>
      </c>
      <c r="DX28" s="1" t="str">
        <f t="shared" si="32"/>
        <v/>
      </c>
      <c r="DY28" s="5" t="str">
        <f t="shared" si="46"/>
        <v/>
      </c>
      <c r="DZ28" s="5" t="str">
        <f t="shared" si="33"/>
        <v/>
      </c>
      <c r="EA28" s="1" t="str">
        <f t="shared" si="34"/>
        <v/>
      </c>
      <c r="EB28" s="404">
        <f t="shared" si="47"/>
        <v>0</v>
      </c>
      <c r="EC28" s="421" t="str">
        <f t="shared" si="35"/>
        <v/>
      </c>
      <c r="ED28">
        <f t="shared" si="36"/>
        <v>0</v>
      </c>
      <c r="EE28" s="18">
        <f t="shared" si="37"/>
        <v>0</v>
      </c>
      <c r="EF28" s="1" t="str">
        <f t="shared" si="48"/>
        <v/>
      </c>
      <c r="EG28" s="1" t="str">
        <f t="shared" si="9"/>
        <v/>
      </c>
      <c r="EH28" s="1" t="str">
        <f t="shared" si="38"/>
        <v/>
      </c>
      <c r="EI28" s="88"/>
      <c r="EJ28" t="str">
        <f t="shared" si="39"/>
        <v/>
      </c>
      <c r="EO28" s="301"/>
      <c r="EP28" s="1">
        <f t="shared" si="10"/>
        <v>0</v>
      </c>
      <c r="EQ28" s="1">
        <f t="shared" si="11"/>
        <v>0</v>
      </c>
      <c r="EU28" s="1">
        <f t="shared" si="12"/>
        <v>0</v>
      </c>
      <c r="EV28" s="1">
        <f t="shared" si="13"/>
        <v>0</v>
      </c>
      <c r="EZ28" s="1">
        <f t="shared" si="14"/>
        <v>0</v>
      </c>
      <c r="FA28" s="1">
        <f t="shared" si="15"/>
        <v>0</v>
      </c>
      <c r="FE28" s="8"/>
      <c r="FF28" s="8"/>
      <c r="FJ28" s="8"/>
      <c r="FK28" s="8"/>
      <c r="FY28" s="400" t="str">
        <f>IF(N13="","",CM27)</f>
        <v/>
      </c>
      <c r="FZ28" s="1">
        <f>IF(OR(N15="",$N$15=CS36),M15,N15)</f>
        <v>12</v>
      </c>
      <c r="GA28" s="1">
        <f>IF(OR(FY28="",N16=$FY$10),0,MATCH(N16,$FZ$10:$GB$10,0))</f>
        <v>0</v>
      </c>
      <c r="GB28" s="1">
        <f>IF(N18="Yes",8,0)</f>
        <v>8</v>
      </c>
      <c r="GC28" s="1">
        <f>IF(OR(FY28="",N17=$FY$17),0,MATCH(N17,$FZ$17:$GB$17,0))</f>
        <v>0</v>
      </c>
      <c r="GD28" s="389">
        <f>IF(N19="",GD27,N19)</f>
        <v>0</v>
      </c>
      <c r="GE28" s="389">
        <f>IF(N20="",GE27,N20)</f>
        <v>0</v>
      </c>
      <c r="GF28" s="389">
        <f>IF(N21="",GF27,N21)</f>
        <v>0</v>
      </c>
      <c r="GI28">
        <v>5</v>
      </c>
      <c r="GJ28" t="s">
        <v>132</v>
      </c>
      <c r="GK28" t="s">
        <v>119</v>
      </c>
      <c r="GL28">
        <v>150000</v>
      </c>
    </row>
    <row r="29" spans="1:194" ht="21" customHeight="1" x14ac:dyDescent="0.25">
      <c r="A29" s="1111"/>
      <c r="B29" s="1027" t="s">
        <v>125</v>
      </c>
      <c r="C29" s="1027"/>
      <c r="D29" s="1027"/>
      <c r="E29" s="1027"/>
      <c r="F29" s="1027"/>
      <c r="G29" s="1027"/>
      <c r="H29" s="1027"/>
      <c r="I29" s="517"/>
      <c r="J29" s="801" t="str">
        <f>IFERROR(IF(I29="","",INDEX(Sections!$S$36:$S$42,MATCH(DATA!B29,Sections!$P$36:$P$42,0),0)),"")</f>
        <v/>
      </c>
      <c r="K29" s="33"/>
      <c r="L29" s="33"/>
      <c r="M29" s="33"/>
      <c r="N29" s="33"/>
      <c r="O29" s="33"/>
      <c r="P29" s="612"/>
      <c r="Q29" s="1102" t="s">
        <v>712</v>
      </c>
      <c r="R29" s="1103"/>
      <c r="S29" s="601"/>
      <c r="W29" s="33"/>
      <c r="X29" s="484" t="str">
        <f t="shared" si="84"/>
        <v/>
      </c>
      <c r="Y29" s="484" t="str">
        <f t="shared" si="84"/>
        <v/>
      </c>
      <c r="Z29" s="485" t="str">
        <f t="shared" si="80"/>
        <v/>
      </c>
      <c r="AA29" s="485" t="str">
        <f t="shared" si="81"/>
        <v/>
      </c>
      <c r="AB29" s="546">
        <f t="shared" si="85"/>
        <v>0</v>
      </c>
      <c r="AC29" s="546">
        <f t="shared" si="85"/>
        <v>0</v>
      </c>
      <c r="AD29" s="424">
        <f t="shared" si="53"/>
        <v>0</v>
      </c>
      <c r="AE29" s="547"/>
      <c r="AF29" s="33"/>
      <c r="CN29">
        <v>26</v>
      </c>
      <c r="CP29" s="392">
        <v>40970</v>
      </c>
      <c r="CQ29" s="394" t="s">
        <v>576</v>
      </c>
      <c r="CR29">
        <v>76830</v>
      </c>
      <c r="CS29" s="629"/>
      <c r="CV29" t="str">
        <f t="shared" si="21"/>
        <v>Apr-2027</v>
      </c>
      <c r="CW29" s="5">
        <f t="shared" si="43"/>
        <v>46478</v>
      </c>
      <c r="CX29" s="5">
        <f t="shared" si="22"/>
        <v>46507</v>
      </c>
      <c r="CY29" s="4"/>
      <c r="DA29" s="1">
        <v>7</v>
      </c>
      <c r="DB29" s="5" t="str">
        <f t="shared" si="83"/>
        <v/>
      </c>
      <c r="DC29" s="5" t="str">
        <f>IFERROR(SMALL(($DA$15:$DA$19,$DB$15:$DB$19,$DC$15:$DC$19),CN10),"")</f>
        <v/>
      </c>
      <c r="DE29" s="1" t="str">
        <f t="shared" si="4"/>
        <v/>
      </c>
      <c r="DF29" s="4">
        <f t="shared" si="5"/>
        <v>46478</v>
      </c>
      <c r="DG29" t="str">
        <f t="shared" si="6"/>
        <v/>
      </c>
      <c r="DH29" s="4">
        <f t="shared" si="23"/>
        <v>46507</v>
      </c>
      <c r="DI29">
        <f>IFERROR(IF(AND($CS$3=2,DJ29="AGI",INDEX($DJ$4:$DJ$56,MATCH($DR$1,$DJ$4:DJ29,0),1)=$DR$1),2,0),0)</f>
        <v>0</v>
      </c>
      <c r="DJ29" s="1" t="str">
        <f t="shared" si="24"/>
        <v/>
      </c>
      <c r="DK29" s="5" t="str">
        <f t="shared" si="25"/>
        <v/>
      </c>
      <c r="DL29" s="222" t="str">
        <f t="shared" si="26"/>
        <v/>
      </c>
      <c r="DM29" s="225">
        <f t="shared" si="44"/>
        <v>0</v>
      </c>
      <c r="DN29" s="11">
        <f t="shared" si="27"/>
        <v>74770</v>
      </c>
      <c r="DO29" s="11" t="str">
        <f t="shared" si="28"/>
        <v/>
      </c>
      <c r="DP29" s="233">
        <f t="shared" si="45"/>
        <v>74770</v>
      </c>
      <c r="DQ29" s="229" t="str">
        <f t="shared" si="7"/>
        <v/>
      </c>
      <c r="DS29" s="1">
        <f t="shared" si="29"/>
        <v>0</v>
      </c>
      <c r="DT29" s="1">
        <f t="shared" si="30"/>
        <v>74770</v>
      </c>
      <c r="DV29" s="1" t="str">
        <f t="shared" si="8"/>
        <v/>
      </c>
      <c r="DW29" s="1" t="str">
        <f t="shared" si="31"/>
        <v/>
      </c>
      <c r="DX29" s="1" t="str">
        <f t="shared" si="32"/>
        <v/>
      </c>
      <c r="DY29" s="5" t="str">
        <f t="shared" si="46"/>
        <v/>
      </c>
      <c r="DZ29" s="5" t="str">
        <f t="shared" si="33"/>
        <v/>
      </c>
      <c r="EA29" s="1" t="str">
        <f t="shared" si="34"/>
        <v/>
      </c>
      <c r="EB29" s="404">
        <f t="shared" si="47"/>
        <v>0</v>
      </c>
      <c r="EC29" s="421" t="str">
        <f t="shared" si="35"/>
        <v/>
      </c>
      <c r="ED29">
        <f t="shared" si="36"/>
        <v>0</v>
      </c>
      <c r="EE29" s="18">
        <f t="shared" si="37"/>
        <v>0</v>
      </c>
      <c r="EF29" s="1" t="str">
        <f t="shared" si="48"/>
        <v/>
      </c>
      <c r="EG29" s="1" t="str">
        <f t="shared" si="9"/>
        <v/>
      </c>
      <c r="EH29" s="1" t="str">
        <f t="shared" si="38"/>
        <v/>
      </c>
      <c r="EI29" s="88"/>
      <c r="EJ29" t="str">
        <f t="shared" si="39"/>
        <v/>
      </c>
      <c r="EO29" s="301"/>
      <c r="EP29" s="1">
        <f t="shared" si="10"/>
        <v>0</v>
      </c>
      <c r="EQ29" s="1">
        <f t="shared" si="11"/>
        <v>0</v>
      </c>
      <c r="EU29" s="1">
        <f t="shared" si="12"/>
        <v>0</v>
      </c>
      <c r="EV29" s="1">
        <f t="shared" si="13"/>
        <v>0</v>
      </c>
      <c r="EZ29" s="1">
        <f t="shared" si="14"/>
        <v>0</v>
      </c>
      <c r="FA29" s="1">
        <f t="shared" si="15"/>
        <v>0</v>
      </c>
      <c r="FE29" s="8"/>
      <c r="FF29" s="8"/>
      <c r="FJ29" s="8"/>
      <c r="FK29" s="8"/>
      <c r="FY29" s="400" t="str">
        <f>IF(O13="","",CM28)</f>
        <v/>
      </c>
      <c r="FZ29" s="1">
        <f>IF(OR(O15="",$O$15=CS36),FZ28,O15)</f>
        <v>12</v>
      </c>
      <c r="GA29" s="1">
        <f>IF(OR(FY29="",O16=$FY$10),0,MATCH(O16,$FZ$10:$GB$10,0))</f>
        <v>0</v>
      </c>
      <c r="GB29" s="1">
        <f>IF(O18="Yes",8,0)</f>
        <v>0</v>
      </c>
      <c r="GC29" s="1">
        <f>IF(OR(FY29="",O17=$FY$17),0,MATCH(O17,$FZ$17:$GB$17,0))</f>
        <v>0</v>
      </c>
      <c r="GD29" s="389">
        <f>IF(O19="",GD28,O19)</f>
        <v>0</v>
      </c>
      <c r="GE29" s="389">
        <f>IF(O20="",GE28,O20)</f>
        <v>0</v>
      </c>
      <c r="GF29" s="389">
        <f>IF(O21="",GF28,O21)</f>
        <v>0</v>
      </c>
      <c r="GI29">
        <v>6</v>
      </c>
      <c r="GJ29" t="s">
        <v>132</v>
      </c>
      <c r="GK29" t="s">
        <v>136</v>
      </c>
      <c r="GL29">
        <v>150000</v>
      </c>
    </row>
    <row r="30" spans="1:194" ht="21" customHeight="1" x14ac:dyDescent="0.25">
      <c r="A30" s="1111"/>
      <c r="B30" s="1027" t="s">
        <v>158</v>
      </c>
      <c r="C30" s="1027"/>
      <c r="D30" s="1027"/>
      <c r="E30" s="1027"/>
      <c r="F30" s="1027"/>
      <c r="G30" s="1027"/>
      <c r="H30" s="1027"/>
      <c r="I30" s="517"/>
      <c r="J30" s="801" t="str">
        <f>IFERROR(IF(I30="","",INDEX(Sections!$S$36:$S$42,MATCH(DATA!B30,Sections!$P$36:$P$42,0),0)),"")</f>
        <v/>
      </c>
      <c r="K30" s="1039" t="s">
        <v>715</v>
      </c>
      <c r="L30" s="1040"/>
      <c r="M30" s="551" t="s">
        <v>1102</v>
      </c>
      <c r="N30" s="589">
        <v>20</v>
      </c>
      <c r="O30" s="33"/>
      <c r="P30" s="612"/>
      <c r="Q30" s="1102"/>
      <c r="R30" s="1103"/>
      <c r="S30" s="601"/>
      <c r="W30" s="33"/>
      <c r="X30" s="484" t="str">
        <f t="shared" ref="X30:X55" si="88">DK28</f>
        <v/>
      </c>
      <c r="Y30" s="484" t="str">
        <f t="shared" ref="Y30:Y55" si="89">DL28</f>
        <v/>
      </c>
      <c r="Z30" s="485" t="str">
        <f t="shared" ref="Z30:Z55" si="90">DJ28</f>
        <v/>
      </c>
      <c r="AA30" s="485" t="str">
        <f t="shared" ref="AA30:AA55" si="91">EF28</f>
        <v/>
      </c>
      <c r="AB30" s="546">
        <f t="shared" ref="AB30:AB55" si="92">EP28</f>
        <v>0</v>
      </c>
      <c r="AC30" s="546">
        <f t="shared" ref="AC30:AC55" si="93">EQ28</f>
        <v>0</v>
      </c>
      <c r="AD30" s="424">
        <f t="shared" si="53"/>
        <v>0</v>
      </c>
      <c r="AE30" s="547"/>
      <c r="AF30" s="33"/>
      <c r="CN30">
        <v>27</v>
      </c>
      <c r="CP30" s="392">
        <v>42140</v>
      </c>
      <c r="CQ30" s="394" t="s">
        <v>577</v>
      </c>
      <c r="CR30">
        <v>83100</v>
      </c>
      <c r="CS30" s="813" t="s">
        <v>67</v>
      </c>
      <c r="CT30" s="813" t="s">
        <v>1116</v>
      </c>
      <c r="CV30" t="str">
        <f t="shared" si="21"/>
        <v>May-2027</v>
      </c>
      <c r="CW30" s="5">
        <f t="shared" si="43"/>
        <v>46508</v>
      </c>
      <c r="CX30" s="5">
        <f t="shared" si="22"/>
        <v>46538</v>
      </c>
      <c r="CY30" s="4"/>
      <c r="DA30" s="1">
        <v>8</v>
      </c>
      <c r="DB30" s="5" t="str">
        <f t="shared" si="83"/>
        <v/>
      </c>
      <c r="DC30" s="5" t="str">
        <f>IFERROR(SMALL(($DA$15:$DA$19,$DB$15:$DB$19,$DC$15:$DC$19),CN11),"")</f>
        <v/>
      </c>
      <c r="DE30" s="1" t="str">
        <f t="shared" si="4"/>
        <v/>
      </c>
      <c r="DF30" s="4">
        <f t="shared" si="5"/>
        <v>46508</v>
      </c>
      <c r="DG30" t="str">
        <f t="shared" si="6"/>
        <v/>
      </c>
      <c r="DH30" s="4">
        <f t="shared" si="23"/>
        <v>46538</v>
      </c>
      <c r="DI30">
        <f>IFERROR(IF(AND($CS$3=2,DJ30="AGI",INDEX($DJ$4:$DJ$56,MATCH($DR$1,$DJ$4:DJ30,0),1)=$DR$1),2,0),0)</f>
        <v>0</v>
      </c>
      <c r="DJ30" s="1" t="str">
        <f t="shared" si="24"/>
        <v/>
      </c>
      <c r="DK30" s="5" t="str">
        <f t="shared" si="25"/>
        <v/>
      </c>
      <c r="DL30" s="222" t="str">
        <f t="shared" si="26"/>
        <v/>
      </c>
      <c r="DM30" s="225">
        <f t="shared" si="44"/>
        <v>0</v>
      </c>
      <c r="DN30" s="11">
        <f t="shared" si="27"/>
        <v>74770</v>
      </c>
      <c r="DO30" s="11" t="str">
        <f t="shared" si="28"/>
        <v/>
      </c>
      <c r="DP30" s="233">
        <f t="shared" si="45"/>
        <v>74770</v>
      </c>
      <c r="DQ30" s="229" t="str">
        <f t="shared" si="7"/>
        <v/>
      </c>
      <c r="DS30" s="1">
        <f t="shared" si="29"/>
        <v>0</v>
      </c>
      <c r="DT30" s="1">
        <f t="shared" si="30"/>
        <v>74770</v>
      </c>
      <c r="DV30" s="1" t="str">
        <f t="shared" si="8"/>
        <v/>
      </c>
      <c r="DW30" s="1" t="str">
        <f t="shared" si="31"/>
        <v/>
      </c>
      <c r="DX30" s="1" t="str">
        <f t="shared" si="32"/>
        <v/>
      </c>
      <c r="DY30" s="5" t="str">
        <f t="shared" si="46"/>
        <v/>
      </c>
      <c r="DZ30" s="5" t="str">
        <f t="shared" si="33"/>
        <v/>
      </c>
      <c r="EA30" s="1" t="str">
        <f t="shared" si="34"/>
        <v/>
      </c>
      <c r="EB30" s="404">
        <f t="shared" si="47"/>
        <v>0</v>
      </c>
      <c r="EC30" s="421" t="str">
        <f t="shared" si="35"/>
        <v/>
      </c>
      <c r="ED30">
        <f t="shared" si="36"/>
        <v>0</v>
      </c>
      <c r="EE30" s="18">
        <f t="shared" si="37"/>
        <v>0</v>
      </c>
      <c r="EF30" s="1" t="str">
        <f t="shared" si="48"/>
        <v/>
      </c>
      <c r="EG30" s="1" t="str">
        <f t="shared" si="9"/>
        <v/>
      </c>
      <c r="EH30" s="1" t="str">
        <f t="shared" si="38"/>
        <v/>
      </c>
      <c r="EI30" s="88"/>
      <c r="EJ30" t="str">
        <f t="shared" si="39"/>
        <v/>
      </c>
      <c r="EO30" s="301"/>
      <c r="EP30" s="1">
        <f t="shared" si="10"/>
        <v>0</v>
      </c>
      <c r="EQ30" s="1">
        <f t="shared" si="11"/>
        <v>0</v>
      </c>
      <c r="EU30" s="1">
        <f t="shared" si="12"/>
        <v>0</v>
      </c>
      <c r="EV30" s="1">
        <f t="shared" si="13"/>
        <v>0</v>
      </c>
      <c r="EZ30" s="1">
        <f t="shared" si="14"/>
        <v>0</v>
      </c>
      <c r="FA30" s="1">
        <f t="shared" si="15"/>
        <v>0</v>
      </c>
      <c r="FE30" s="8"/>
      <c r="FF30" s="8"/>
      <c r="FJ30" s="8"/>
      <c r="FK30" s="8"/>
      <c r="GI30">
        <v>7</v>
      </c>
      <c r="GJ30" t="s">
        <v>132</v>
      </c>
      <c r="GK30" t="s">
        <v>122</v>
      </c>
      <c r="GL30">
        <v>150000</v>
      </c>
    </row>
    <row r="31" spans="1:194" ht="21" customHeight="1" x14ac:dyDescent="0.25">
      <c r="A31" s="1111"/>
      <c r="B31" s="1027" t="s">
        <v>150</v>
      </c>
      <c r="C31" s="1027"/>
      <c r="D31" s="1027"/>
      <c r="E31" s="1027"/>
      <c r="F31" s="1027"/>
      <c r="G31" s="1027"/>
      <c r="H31" s="1027"/>
      <c r="I31" s="517"/>
      <c r="J31" s="801" t="str">
        <f>IFERROR(IF(I31="","",INDEX(Sections!$S$36:$S$42,MATCH(DATA!B31,Sections!$P$36:$P$42,0),0)),"")</f>
        <v/>
      </c>
      <c r="K31" s="1039" t="s">
        <v>716</v>
      </c>
      <c r="L31" s="1040"/>
      <c r="M31" s="551" t="s">
        <v>1103</v>
      </c>
      <c r="N31" s="589">
        <v>100</v>
      </c>
      <c r="O31" s="33"/>
      <c r="P31" s="612"/>
      <c r="Q31" s="1102" t="s">
        <v>699</v>
      </c>
      <c r="R31" s="1103"/>
      <c r="S31" s="601"/>
      <c r="W31" s="33"/>
      <c r="X31" s="484" t="str">
        <f t="shared" si="88"/>
        <v/>
      </c>
      <c r="Y31" s="484" t="str">
        <f t="shared" si="89"/>
        <v/>
      </c>
      <c r="Z31" s="485" t="str">
        <f t="shared" si="90"/>
        <v/>
      </c>
      <c r="AA31" s="485" t="str">
        <f t="shared" si="91"/>
        <v/>
      </c>
      <c r="AB31" s="546">
        <f t="shared" si="92"/>
        <v>0</v>
      </c>
      <c r="AC31" s="546">
        <f t="shared" si="93"/>
        <v>0</v>
      </c>
      <c r="AD31" s="424">
        <f t="shared" si="53"/>
        <v>0</v>
      </c>
      <c r="AE31" s="547"/>
      <c r="AF31" s="33"/>
      <c r="CN31">
        <v>28</v>
      </c>
      <c r="CP31" s="392">
        <v>43310</v>
      </c>
      <c r="CQ31" s="394" t="s">
        <v>578</v>
      </c>
      <c r="CR31">
        <v>89780</v>
      </c>
      <c r="CS31" s="230">
        <v>10</v>
      </c>
      <c r="CT31" s="23">
        <v>11000</v>
      </c>
      <c r="CV31" t="str">
        <f t="shared" si="21"/>
        <v>Jun-2027</v>
      </c>
      <c r="CW31" s="5">
        <f t="shared" si="43"/>
        <v>46539</v>
      </c>
      <c r="CX31" s="5">
        <f t="shared" si="22"/>
        <v>46568</v>
      </c>
      <c r="CY31" s="4"/>
      <c r="DA31" s="1">
        <v>9</v>
      </c>
      <c r="DB31" s="5" t="str">
        <f t="shared" si="83"/>
        <v/>
      </c>
      <c r="DC31" s="5" t="str">
        <f>IFERROR(SMALL(($DA$15:$DA$19,$DB$15:$DB$19,$DC$15:$DC$19),CN12),"")</f>
        <v/>
      </c>
      <c r="DE31" s="1" t="str">
        <f t="shared" si="4"/>
        <v/>
      </c>
      <c r="DF31" s="4">
        <f t="shared" si="5"/>
        <v>46539</v>
      </c>
      <c r="DG31" t="str">
        <f t="shared" si="6"/>
        <v/>
      </c>
      <c r="DH31" s="4">
        <f t="shared" si="23"/>
        <v>46568</v>
      </c>
      <c r="DI31">
        <f>IFERROR(IF(AND($CS$3=2,DJ31="AGI",INDEX($DJ$4:$DJ$56,MATCH($DR$1,$DJ$4:DJ31,0),1)=$DR$1),2,0),0)</f>
        <v>0</v>
      </c>
      <c r="DJ31" s="1" t="str">
        <f t="shared" si="24"/>
        <v/>
      </c>
      <c r="DK31" s="5" t="str">
        <f t="shared" si="25"/>
        <v/>
      </c>
      <c r="DL31" s="222" t="str">
        <f t="shared" si="26"/>
        <v/>
      </c>
      <c r="DM31" s="225">
        <f t="shared" si="44"/>
        <v>0</v>
      </c>
      <c r="DN31" s="11">
        <f t="shared" si="27"/>
        <v>74770</v>
      </c>
      <c r="DO31" s="11" t="str">
        <f t="shared" si="28"/>
        <v/>
      </c>
      <c r="DP31" s="233">
        <f t="shared" si="45"/>
        <v>74770</v>
      </c>
      <c r="DQ31" s="229" t="str">
        <f t="shared" si="7"/>
        <v/>
      </c>
      <c r="DS31" s="1">
        <f t="shared" si="29"/>
        <v>0</v>
      </c>
      <c r="DT31" s="1">
        <f t="shared" si="30"/>
        <v>74770</v>
      </c>
      <c r="DV31" s="1" t="str">
        <f t="shared" si="8"/>
        <v/>
      </c>
      <c r="DW31" s="1" t="str">
        <f t="shared" si="31"/>
        <v/>
      </c>
      <c r="DX31" s="1" t="str">
        <f t="shared" si="32"/>
        <v/>
      </c>
      <c r="DY31" s="5" t="str">
        <f t="shared" si="46"/>
        <v/>
      </c>
      <c r="DZ31" s="5" t="str">
        <f t="shared" si="33"/>
        <v/>
      </c>
      <c r="EA31" s="1" t="str">
        <f t="shared" si="34"/>
        <v/>
      </c>
      <c r="EB31" s="404">
        <f t="shared" si="47"/>
        <v>0</v>
      </c>
      <c r="EC31" s="421" t="str">
        <f t="shared" si="35"/>
        <v/>
      </c>
      <c r="ED31">
        <f t="shared" si="36"/>
        <v>0</v>
      </c>
      <c r="EE31" s="18">
        <f t="shared" si="37"/>
        <v>0</v>
      </c>
      <c r="EF31" s="1" t="str">
        <f t="shared" si="48"/>
        <v/>
      </c>
      <c r="EG31" s="1" t="str">
        <f t="shared" si="9"/>
        <v/>
      </c>
      <c r="EH31" s="1" t="str">
        <f t="shared" si="38"/>
        <v/>
      </c>
      <c r="EI31" s="88"/>
      <c r="EJ31" t="str">
        <f t="shared" si="39"/>
        <v/>
      </c>
      <c r="EO31" s="301"/>
      <c r="EP31" s="1">
        <f t="shared" si="10"/>
        <v>0</v>
      </c>
      <c r="EQ31" s="1">
        <f t="shared" si="11"/>
        <v>0</v>
      </c>
      <c r="EU31" s="1">
        <f t="shared" si="12"/>
        <v>0</v>
      </c>
      <c r="EV31" s="1">
        <f t="shared" si="13"/>
        <v>0</v>
      </c>
      <c r="EZ31" s="1">
        <f t="shared" si="14"/>
        <v>0</v>
      </c>
      <c r="FA31" s="1">
        <f t="shared" si="15"/>
        <v>0</v>
      </c>
      <c r="FE31" s="8"/>
      <c r="FF31" s="8"/>
      <c r="FJ31" s="8"/>
      <c r="FK31" s="8"/>
      <c r="FY31" s="1" t="s">
        <v>19</v>
      </c>
      <c r="FZ31" s="1">
        <v>0</v>
      </c>
      <c r="GI31">
        <v>8</v>
      </c>
      <c r="GJ31" t="s">
        <v>132</v>
      </c>
      <c r="GK31" t="s">
        <v>137</v>
      </c>
      <c r="GL31">
        <v>150000</v>
      </c>
    </row>
    <row r="32" spans="1:194" ht="21" customHeight="1" x14ac:dyDescent="0.25">
      <c r="A32" s="1111"/>
      <c r="B32" s="1027" t="s">
        <v>129</v>
      </c>
      <c r="C32" s="1027"/>
      <c r="D32" s="1027"/>
      <c r="E32" s="1027"/>
      <c r="F32" s="1027"/>
      <c r="G32" s="1027"/>
      <c r="H32" s="1027"/>
      <c r="I32" s="517"/>
      <c r="J32" s="801" t="str">
        <f>IFERROR(IF(I32="","",INDEX(Sections!$S$36:$S$42,MATCH(DATA!B32,Sections!$P$36:$P$42,0),0)),"")</f>
        <v/>
      </c>
      <c r="K32" s="1108" t="s">
        <v>719</v>
      </c>
      <c r="L32" s="1109"/>
      <c r="M32" s="551" t="s">
        <v>1102</v>
      </c>
      <c r="N32" s="1006">
        <v>0</v>
      </c>
      <c r="O32" s="33"/>
      <c r="P32" s="612"/>
      <c r="Q32" s="1102"/>
      <c r="R32" s="1103"/>
      <c r="S32" s="601"/>
      <c r="W32" s="33"/>
      <c r="X32" s="484" t="str">
        <f t="shared" si="88"/>
        <v/>
      </c>
      <c r="Y32" s="484" t="str">
        <f t="shared" si="89"/>
        <v/>
      </c>
      <c r="Z32" s="485" t="str">
        <f t="shared" si="90"/>
        <v/>
      </c>
      <c r="AA32" s="485" t="str">
        <f t="shared" si="91"/>
        <v/>
      </c>
      <c r="AB32" s="546">
        <f t="shared" si="92"/>
        <v>0</v>
      </c>
      <c r="AC32" s="546">
        <f t="shared" si="93"/>
        <v>0</v>
      </c>
      <c r="AD32" s="424">
        <f t="shared" si="53"/>
        <v>0</v>
      </c>
      <c r="AE32" s="547"/>
      <c r="AF32" s="33"/>
      <c r="CN32">
        <v>29</v>
      </c>
      <c r="CP32" s="392">
        <v>44570</v>
      </c>
      <c r="CQ32" s="394" t="s">
        <v>579</v>
      </c>
      <c r="CR32">
        <v>96890</v>
      </c>
      <c r="CS32" s="230">
        <v>12</v>
      </c>
      <c r="CT32" s="23">
        <v>13000</v>
      </c>
      <c r="CV32" t="str">
        <f t="shared" si="21"/>
        <v>Jul-2027</v>
      </c>
      <c r="CW32" s="5">
        <f t="shared" si="43"/>
        <v>46569</v>
      </c>
      <c r="CX32" s="5">
        <f t="shared" si="22"/>
        <v>46599</v>
      </c>
      <c r="CY32" s="4"/>
      <c r="DA32" s="1">
        <v>10</v>
      </c>
      <c r="DB32" s="5" t="str">
        <f t="shared" si="83"/>
        <v/>
      </c>
      <c r="DC32" s="5" t="str">
        <f>IFERROR(SMALL(($DA$15:$DA$19,$DB$15:$DB$19,$DC$15:$DC$19),CN13),"")</f>
        <v/>
      </c>
      <c r="DE32" s="1" t="str">
        <f t="shared" si="4"/>
        <v/>
      </c>
      <c r="DF32" s="4">
        <f t="shared" si="5"/>
        <v>46569</v>
      </c>
      <c r="DG32" t="str">
        <f t="shared" si="6"/>
        <v/>
      </c>
      <c r="DH32" s="4">
        <f t="shared" si="23"/>
        <v>46599</v>
      </c>
      <c r="DI32">
        <f>IFERROR(IF(AND($CS$3=2,DJ32="AGI",INDEX($DJ$4:$DJ$56,MATCH($DR$1,$DJ$4:DJ32,0),1)=$DR$1),2,0),0)</f>
        <v>0</v>
      </c>
      <c r="DJ32" s="1" t="str">
        <f t="shared" si="24"/>
        <v/>
      </c>
      <c r="DK32" s="5" t="str">
        <f t="shared" si="25"/>
        <v/>
      </c>
      <c r="DL32" s="222" t="str">
        <f t="shared" si="26"/>
        <v/>
      </c>
      <c r="DM32" s="225">
        <f t="shared" si="44"/>
        <v>0</v>
      </c>
      <c r="DN32" s="11">
        <f t="shared" si="27"/>
        <v>74770</v>
      </c>
      <c r="DO32" s="11" t="str">
        <f t="shared" si="28"/>
        <v/>
      </c>
      <c r="DP32" s="233">
        <f t="shared" si="45"/>
        <v>74770</v>
      </c>
      <c r="DQ32" s="229" t="str">
        <f t="shared" si="7"/>
        <v/>
      </c>
      <c r="DS32" s="1">
        <f t="shared" si="29"/>
        <v>0</v>
      </c>
      <c r="DT32" s="1">
        <f t="shared" si="30"/>
        <v>74770</v>
      </c>
      <c r="DV32" s="1" t="str">
        <f t="shared" si="8"/>
        <v/>
      </c>
      <c r="DW32" s="1" t="str">
        <f t="shared" si="31"/>
        <v/>
      </c>
      <c r="DX32" s="1" t="str">
        <f t="shared" si="32"/>
        <v/>
      </c>
      <c r="DY32" s="5" t="str">
        <f t="shared" si="46"/>
        <v/>
      </c>
      <c r="DZ32" s="5" t="str">
        <f t="shared" si="33"/>
        <v/>
      </c>
      <c r="EA32" s="1" t="str">
        <f t="shared" si="34"/>
        <v/>
      </c>
      <c r="EB32" s="404">
        <f t="shared" si="47"/>
        <v>0</v>
      </c>
      <c r="EC32" s="421" t="str">
        <f t="shared" si="35"/>
        <v/>
      </c>
      <c r="ED32">
        <f t="shared" si="36"/>
        <v>0</v>
      </c>
      <c r="EE32" s="18">
        <f t="shared" si="37"/>
        <v>0</v>
      </c>
      <c r="EF32" s="1" t="str">
        <f t="shared" si="48"/>
        <v/>
      </c>
      <c r="EG32" s="1" t="str">
        <f t="shared" si="9"/>
        <v/>
      </c>
      <c r="EH32" s="1" t="str">
        <f t="shared" si="38"/>
        <v/>
      </c>
      <c r="EI32" s="88"/>
      <c r="EJ32" t="str">
        <f t="shared" si="39"/>
        <v/>
      </c>
      <c r="EO32" s="301"/>
      <c r="EP32" s="1">
        <f t="shared" si="10"/>
        <v>0</v>
      </c>
      <c r="EQ32" s="1">
        <f t="shared" si="11"/>
        <v>0</v>
      </c>
      <c r="EU32" s="1">
        <f t="shared" si="12"/>
        <v>0</v>
      </c>
      <c r="EV32" s="1">
        <f t="shared" si="13"/>
        <v>0</v>
      </c>
      <c r="EZ32" s="1">
        <f t="shared" si="14"/>
        <v>0</v>
      </c>
      <c r="FA32" s="1">
        <f t="shared" si="15"/>
        <v>0</v>
      </c>
      <c r="FE32" s="8"/>
      <c r="FF32" s="8"/>
      <c r="FJ32" s="8"/>
      <c r="FK32" s="8"/>
      <c r="FY32" s="1" t="s">
        <v>90</v>
      </c>
      <c r="FZ32" s="1">
        <v>0</v>
      </c>
      <c r="GI32">
        <v>9</v>
      </c>
      <c r="GJ32" t="s">
        <v>132</v>
      </c>
      <c r="GK32" t="s">
        <v>138</v>
      </c>
      <c r="GL32">
        <v>150000</v>
      </c>
    </row>
    <row r="33" spans="1:194" ht="21" customHeight="1" thickBot="1" x14ac:dyDescent="0.3">
      <c r="A33" s="1111"/>
      <c r="B33" s="1028" t="s">
        <v>128</v>
      </c>
      <c r="C33" s="1028"/>
      <c r="D33" s="1028"/>
      <c r="E33" s="1028"/>
      <c r="F33" s="1028"/>
      <c r="G33" s="1028"/>
      <c r="H33" s="1028"/>
      <c r="I33" s="519"/>
      <c r="J33" s="801" t="str">
        <f>IFERROR(IF(I33="","",INDEX(Sections!$S$36:$S$42,MATCH(DATA!B33,Sections!$P$36:$P$42,0),0)),"")</f>
        <v/>
      </c>
      <c r="K33" s="1108" t="s">
        <v>717</v>
      </c>
      <c r="L33" s="1109"/>
      <c r="M33" s="551" t="s">
        <v>1104</v>
      </c>
      <c r="N33" s="714" t="s">
        <v>19</v>
      </c>
      <c r="O33" s="33"/>
      <c r="P33" s="612"/>
      <c r="Q33" s="1102" t="s">
        <v>692</v>
      </c>
      <c r="R33" s="1103"/>
      <c r="S33" s="601"/>
      <c r="W33" s="33"/>
      <c r="X33" s="484" t="str">
        <f t="shared" si="88"/>
        <v/>
      </c>
      <c r="Y33" s="484" t="str">
        <f t="shared" si="89"/>
        <v/>
      </c>
      <c r="Z33" s="485" t="str">
        <f t="shared" si="90"/>
        <v/>
      </c>
      <c r="AA33" s="485" t="str">
        <f t="shared" si="91"/>
        <v/>
      </c>
      <c r="AB33" s="546">
        <f t="shared" si="92"/>
        <v>0</v>
      </c>
      <c r="AC33" s="546">
        <f t="shared" si="93"/>
        <v>0</v>
      </c>
      <c r="AD33" s="424">
        <f t="shared" si="53"/>
        <v>0</v>
      </c>
      <c r="AE33" s="547"/>
      <c r="AF33" s="33"/>
      <c r="CN33">
        <v>30</v>
      </c>
      <c r="CP33" s="392">
        <v>45830</v>
      </c>
      <c r="CQ33" s="394" t="s">
        <v>580</v>
      </c>
      <c r="CR33">
        <v>106990</v>
      </c>
      <c r="CS33" s="230">
        <v>16</v>
      </c>
      <c r="CT33" s="23">
        <v>17000</v>
      </c>
      <c r="CV33" t="str">
        <f t="shared" si="21"/>
        <v>Aug-2027</v>
      </c>
      <c r="CW33" s="5">
        <f t="shared" si="43"/>
        <v>46600</v>
      </c>
      <c r="CX33" s="5">
        <f t="shared" si="22"/>
        <v>46630</v>
      </c>
      <c r="CY33" s="4"/>
      <c r="DA33" s="1">
        <v>11</v>
      </c>
      <c r="DB33" s="5" t="str">
        <f t="shared" si="83"/>
        <v/>
      </c>
      <c r="DC33" s="5" t="str">
        <f>IFERROR(SMALL(($DA$15:$DA$19,$DB$15:$DB$19,$DC$15:$DC$19),CN14),"")</f>
        <v/>
      </c>
      <c r="DE33" s="1" t="str">
        <f t="shared" si="4"/>
        <v/>
      </c>
      <c r="DF33" s="4">
        <f t="shared" si="5"/>
        <v>46600</v>
      </c>
      <c r="DG33" t="str">
        <f t="shared" si="6"/>
        <v/>
      </c>
      <c r="DH33" s="4">
        <f t="shared" si="23"/>
        <v>46630</v>
      </c>
      <c r="DI33">
        <f>IFERROR(IF(AND($CS$3=2,DJ33="AGI",INDEX($DJ$4:$DJ$56,MATCH($DR$1,$DJ$4:DJ33,0),1)=$DR$1),2,0),0)</f>
        <v>0</v>
      </c>
      <c r="DJ33" s="1" t="str">
        <f t="shared" si="24"/>
        <v/>
      </c>
      <c r="DK33" s="5" t="str">
        <f t="shared" si="25"/>
        <v/>
      </c>
      <c r="DL33" s="222" t="str">
        <f t="shared" si="26"/>
        <v/>
      </c>
      <c r="DM33" s="225">
        <f t="shared" si="44"/>
        <v>0</v>
      </c>
      <c r="DN33" s="11">
        <f t="shared" si="27"/>
        <v>74770</v>
      </c>
      <c r="DO33" s="11" t="str">
        <f t="shared" si="28"/>
        <v/>
      </c>
      <c r="DP33" s="233">
        <f t="shared" si="45"/>
        <v>74770</v>
      </c>
      <c r="DQ33" s="229" t="str">
        <f t="shared" si="7"/>
        <v/>
      </c>
      <c r="DS33" s="1">
        <f t="shared" si="29"/>
        <v>0</v>
      </c>
      <c r="DT33" s="1">
        <f t="shared" si="30"/>
        <v>74770</v>
      </c>
      <c r="DV33" s="1" t="str">
        <f t="shared" si="8"/>
        <v/>
      </c>
      <c r="DW33" s="1" t="str">
        <f t="shared" si="31"/>
        <v/>
      </c>
      <c r="DX33" s="1" t="str">
        <f t="shared" si="32"/>
        <v/>
      </c>
      <c r="DY33" s="5" t="str">
        <f t="shared" si="46"/>
        <v/>
      </c>
      <c r="DZ33" s="5" t="str">
        <f t="shared" si="33"/>
        <v/>
      </c>
      <c r="EA33" s="1" t="str">
        <f t="shared" si="34"/>
        <v/>
      </c>
      <c r="EB33" s="404">
        <f t="shared" si="47"/>
        <v>0</v>
      </c>
      <c r="EC33" s="421" t="str">
        <f t="shared" si="35"/>
        <v/>
      </c>
      <c r="ED33">
        <f t="shared" si="36"/>
        <v>0</v>
      </c>
      <c r="EE33" s="18">
        <f t="shared" si="37"/>
        <v>0</v>
      </c>
      <c r="EF33" s="1" t="str">
        <f t="shared" si="48"/>
        <v/>
      </c>
      <c r="EG33" s="1" t="str">
        <f t="shared" si="9"/>
        <v/>
      </c>
      <c r="EH33" s="1" t="str">
        <f t="shared" si="38"/>
        <v/>
      </c>
      <c r="EI33" s="88"/>
      <c r="EJ33" t="str">
        <f t="shared" si="39"/>
        <v/>
      </c>
      <c r="EO33" s="301"/>
      <c r="EP33" s="1">
        <f t="shared" si="10"/>
        <v>0</v>
      </c>
      <c r="EQ33" s="1">
        <f t="shared" si="11"/>
        <v>0</v>
      </c>
      <c r="EU33" s="1">
        <f t="shared" si="12"/>
        <v>0</v>
      </c>
      <c r="EV33" s="1">
        <f t="shared" si="13"/>
        <v>0</v>
      </c>
      <c r="EZ33" s="1">
        <f t="shared" si="14"/>
        <v>0</v>
      </c>
      <c r="FA33" s="1">
        <f t="shared" si="15"/>
        <v>0</v>
      </c>
      <c r="FE33" s="8"/>
      <c r="FF33" s="8"/>
      <c r="FJ33" s="8"/>
      <c r="FK33" s="8"/>
      <c r="FY33" s="1" t="s">
        <v>91</v>
      </c>
      <c r="FZ33" s="1">
        <v>0.5</v>
      </c>
      <c r="GI33">
        <v>10</v>
      </c>
      <c r="GJ33" t="s">
        <v>132</v>
      </c>
      <c r="GK33" t="s">
        <v>121</v>
      </c>
      <c r="GL33">
        <v>150000</v>
      </c>
    </row>
    <row r="34" spans="1:194" ht="19.149999999999999" customHeight="1" thickBot="1" x14ac:dyDescent="0.3">
      <c r="A34" s="1051" t="s">
        <v>1016</v>
      </c>
      <c r="B34" s="1052"/>
      <c r="C34" s="1052"/>
      <c r="D34" s="1052"/>
      <c r="E34" s="1053"/>
      <c r="F34" s="1114" t="s">
        <v>1053</v>
      </c>
      <c r="G34" s="592"/>
      <c r="H34" s="593" t="s">
        <v>751</v>
      </c>
      <c r="I34" s="594"/>
      <c r="J34" s="33"/>
      <c r="K34" s="33"/>
      <c r="L34" s="33"/>
      <c r="M34" s="33"/>
      <c r="N34" s="33"/>
      <c r="O34" s="33"/>
      <c r="P34" s="612"/>
      <c r="Q34" s="1102"/>
      <c r="R34" s="1103"/>
      <c r="S34" s="601"/>
      <c r="W34" s="33"/>
      <c r="X34" s="484" t="str">
        <f t="shared" si="88"/>
        <v/>
      </c>
      <c r="Y34" s="484" t="str">
        <f t="shared" si="89"/>
        <v/>
      </c>
      <c r="Z34" s="485" t="str">
        <f t="shared" si="90"/>
        <v/>
      </c>
      <c r="AA34" s="485" t="str">
        <f t="shared" si="91"/>
        <v/>
      </c>
      <c r="AB34" s="546">
        <f t="shared" si="92"/>
        <v>0</v>
      </c>
      <c r="AC34" s="546">
        <f t="shared" si="93"/>
        <v>0</v>
      </c>
      <c r="AD34" s="424">
        <f t="shared" si="53"/>
        <v>0</v>
      </c>
      <c r="AE34" s="547"/>
      <c r="AF34" s="33"/>
      <c r="CN34">
        <v>31</v>
      </c>
      <c r="CP34" s="392">
        <v>47090</v>
      </c>
      <c r="CQ34" s="394" t="s">
        <v>581</v>
      </c>
      <c r="CR34">
        <v>118230</v>
      </c>
      <c r="CS34" s="230">
        <v>24</v>
      </c>
      <c r="CT34" s="23">
        <v>25000</v>
      </c>
      <c r="CV34" t="str">
        <f t="shared" si="21"/>
        <v>Sep-2027</v>
      </c>
      <c r="CW34" s="5">
        <f t="shared" si="43"/>
        <v>46631</v>
      </c>
      <c r="CX34" s="5">
        <f t="shared" si="22"/>
        <v>46660</v>
      </c>
      <c r="CY34" s="4"/>
      <c r="DA34" s="1">
        <v>12</v>
      </c>
      <c r="DB34" s="5" t="str">
        <f t="shared" si="83"/>
        <v/>
      </c>
      <c r="DC34" s="5" t="str">
        <f>IFERROR(SMALL(($DA$15:$DA$19,$DB$15:$DB$19,$DC$15:$DC$19),CN15),"")</f>
        <v/>
      </c>
      <c r="DE34" s="1" t="str">
        <f t="shared" si="4"/>
        <v/>
      </c>
      <c r="DF34" s="4">
        <f t="shared" si="5"/>
        <v>46631</v>
      </c>
      <c r="DG34" t="str">
        <f t="shared" si="6"/>
        <v/>
      </c>
      <c r="DH34" s="4">
        <f t="shared" si="23"/>
        <v>46660</v>
      </c>
      <c r="DI34">
        <f>IFERROR(IF(AND($CS$3=2,DJ34="AGI",INDEX($DJ$4:$DJ$56,MATCH($DR$1,$DJ$4:DJ34,0),1)=$DR$1),2,0),0)</f>
        <v>0</v>
      </c>
      <c r="DJ34" s="1" t="str">
        <f t="shared" si="24"/>
        <v/>
      </c>
      <c r="DK34" s="5" t="str">
        <f t="shared" si="25"/>
        <v/>
      </c>
      <c r="DL34" s="222" t="str">
        <f t="shared" si="26"/>
        <v/>
      </c>
      <c r="DM34" s="225">
        <f t="shared" si="44"/>
        <v>0</v>
      </c>
      <c r="DN34" s="11">
        <f t="shared" si="27"/>
        <v>74770</v>
      </c>
      <c r="DO34" s="11" t="str">
        <f t="shared" si="28"/>
        <v/>
      </c>
      <c r="DP34" s="233">
        <f t="shared" si="45"/>
        <v>74770</v>
      </c>
      <c r="DQ34" s="229" t="str">
        <f t="shared" si="7"/>
        <v/>
      </c>
      <c r="DS34" s="1">
        <f t="shared" si="29"/>
        <v>0</v>
      </c>
      <c r="DT34" s="1">
        <f t="shared" si="30"/>
        <v>74770</v>
      </c>
      <c r="DV34" s="1" t="str">
        <f t="shared" si="8"/>
        <v/>
      </c>
      <c r="DW34" s="1" t="str">
        <f t="shared" si="31"/>
        <v/>
      </c>
      <c r="DX34" s="1" t="str">
        <f t="shared" si="32"/>
        <v/>
      </c>
      <c r="DY34" s="5" t="str">
        <f t="shared" si="46"/>
        <v/>
      </c>
      <c r="DZ34" s="5" t="str">
        <f t="shared" si="33"/>
        <v/>
      </c>
      <c r="EA34" s="1" t="str">
        <f t="shared" si="34"/>
        <v/>
      </c>
      <c r="EB34" s="404">
        <f t="shared" si="47"/>
        <v>0</v>
      </c>
      <c r="EC34" s="421" t="str">
        <f t="shared" si="35"/>
        <v/>
      </c>
      <c r="ED34">
        <f t="shared" si="36"/>
        <v>0</v>
      </c>
      <c r="EE34" s="18">
        <f t="shared" si="37"/>
        <v>0</v>
      </c>
      <c r="EF34" s="1" t="str">
        <f>IFERROR(IF(AND(LEFT(DJ34,3)="S/L",EH34=15),ROUND(DT34*0.5,0),IF(DJ34=$DJ$59,$DL$61,IF(DJ34=$DJ$64,$DL$66,ROUND(SUM(EH34/EG34)*DT34,0)))),"")</f>
        <v/>
      </c>
      <c r="EG34" s="1" t="str">
        <f t="shared" si="9"/>
        <v/>
      </c>
      <c r="EH34" s="1" t="str">
        <f t="shared" si="38"/>
        <v/>
      </c>
      <c r="EI34" s="88"/>
      <c r="EJ34" t="str">
        <f t="shared" si="39"/>
        <v/>
      </c>
      <c r="EO34" s="301"/>
      <c r="EP34" s="1">
        <f t="shared" si="10"/>
        <v>0</v>
      </c>
      <c r="EQ34" s="1">
        <f t="shared" si="11"/>
        <v>0</v>
      </c>
      <c r="EU34" s="1">
        <f t="shared" si="12"/>
        <v>0</v>
      </c>
      <c r="EV34" s="1">
        <f t="shared" si="13"/>
        <v>0</v>
      </c>
      <c r="EZ34" s="1">
        <f t="shared" si="14"/>
        <v>0</v>
      </c>
      <c r="FA34" s="1">
        <f t="shared" si="15"/>
        <v>0</v>
      </c>
      <c r="FE34" s="8"/>
      <c r="FF34" s="8"/>
      <c r="FJ34" s="8"/>
      <c r="FK34" s="8"/>
      <c r="FY34" s="1" t="s">
        <v>92</v>
      </c>
      <c r="FZ34" s="1">
        <v>1</v>
      </c>
      <c r="GI34">
        <v>11</v>
      </c>
      <c r="GJ34" t="s">
        <v>132</v>
      </c>
      <c r="GK34" t="s">
        <v>139</v>
      </c>
      <c r="GL34">
        <v>150000</v>
      </c>
    </row>
    <row r="35" spans="1:194" ht="25.15" customHeight="1" x14ac:dyDescent="0.25">
      <c r="A35" s="1054" t="s">
        <v>1045</v>
      </c>
      <c r="B35" s="618" t="s">
        <v>760</v>
      </c>
      <c r="C35" s="618"/>
      <c r="D35" s="618"/>
      <c r="E35" s="618"/>
      <c r="F35" s="1115"/>
      <c r="G35" s="619" t="s">
        <v>755</v>
      </c>
      <c r="H35" s="613" t="s">
        <v>754</v>
      </c>
      <c r="I35" s="595" t="s">
        <v>118</v>
      </c>
      <c r="J35" s="33"/>
      <c r="K35" s="1037" t="s">
        <v>761</v>
      </c>
      <c r="L35" s="1038"/>
      <c r="M35" s="521" t="s">
        <v>47</v>
      </c>
      <c r="N35" s="522">
        <v>15</v>
      </c>
      <c r="O35" s="33"/>
      <c r="P35" s="612"/>
      <c r="Q35" s="1102" t="s">
        <v>695</v>
      </c>
      <c r="R35" s="1103"/>
      <c r="S35" s="601"/>
      <c r="W35" s="33"/>
      <c r="X35" s="484" t="str">
        <f t="shared" si="88"/>
        <v/>
      </c>
      <c r="Y35" s="484" t="str">
        <f t="shared" si="89"/>
        <v/>
      </c>
      <c r="Z35" s="485" t="str">
        <f t="shared" si="90"/>
        <v/>
      </c>
      <c r="AA35" s="485" t="str">
        <f t="shared" si="91"/>
        <v/>
      </c>
      <c r="AB35" s="546">
        <f t="shared" si="92"/>
        <v>0</v>
      </c>
      <c r="AC35" s="546">
        <f t="shared" si="93"/>
        <v>0</v>
      </c>
      <c r="AD35" s="424">
        <f t="shared" si="53"/>
        <v>0</v>
      </c>
      <c r="AE35" s="547"/>
      <c r="AF35" s="33"/>
      <c r="CN35">
        <v>32</v>
      </c>
      <c r="CP35" s="392">
        <v>48440</v>
      </c>
      <c r="CQ35" s="394" t="s">
        <v>582</v>
      </c>
      <c r="CR35">
        <v>127310</v>
      </c>
      <c r="CS35" s="230">
        <v>0</v>
      </c>
      <c r="CT35" s="23">
        <v>0</v>
      </c>
      <c r="CV35" t="str">
        <f t="shared" si="21"/>
        <v>Oct-2027</v>
      </c>
      <c r="CW35" s="5">
        <f t="shared" si="43"/>
        <v>46661</v>
      </c>
      <c r="CX35" s="5">
        <f t="shared" si="22"/>
        <v>46691</v>
      </c>
      <c r="CY35" s="4"/>
      <c r="DA35" s="1">
        <v>13</v>
      </c>
      <c r="DB35" s="5" t="str">
        <f t="shared" si="83"/>
        <v/>
      </c>
      <c r="DC35" s="5" t="str">
        <f>IFERROR(SMALL(($DA$15:$DA$19,$DB$15:$DB$19,$DC$15:$DC$19),CN16),"")</f>
        <v/>
      </c>
      <c r="DE35" s="1" t="str">
        <f t="shared" si="4"/>
        <v/>
      </c>
      <c r="DF35" s="4">
        <f t="shared" si="5"/>
        <v>46661</v>
      </c>
      <c r="DG35" t="str">
        <f t="shared" si="6"/>
        <v/>
      </c>
      <c r="DH35" s="4">
        <f t="shared" si="23"/>
        <v>46691</v>
      </c>
      <c r="DI35">
        <f>IFERROR(IF(AND($CS$3=2,DJ35="AGI",INDEX($DJ$4:$DJ$56,MATCH($DR$1,$DJ$4:DJ35,0),1)=$DR$1),2,0),0)</f>
        <v>0</v>
      </c>
      <c r="DJ35" s="1" t="str">
        <f t="shared" si="24"/>
        <v/>
      </c>
      <c r="DK35" s="5" t="str">
        <f t="shared" si="25"/>
        <v/>
      </c>
      <c r="DL35" s="222" t="str">
        <f t="shared" si="26"/>
        <v/>
      </c>
      <c r="DM35" s="225">
        <f t="shared" si="44"/>
        <v>0</v>
      </c>
      <c r="DN35" s="11">
        <f t="shared" si="27"/>
        <v>74770</v>
      </c>
      <c r="DO35" s="11" t="str">
        <f t="shared" si="28"/>
        <v/>
      </c>
      <c r="DP35" s="233">
        <f t="shared" si="45"/>
        <v>74770</v>
      </c>
      <c r="DQ35" s="229" t="str">
        <f t="shared" si="7"/>
        <v/>
      </c>
      <c r="DS35" s="1">
        <f t="shared" si="29"/>
        <v>0</v>
      </c>
      <c r="DT35" s="1">
        <f t="shared" si="30"/>
        <v>74770</v>
      </c>
      <c r="DV35" s="1" t="str">
        <f t="shared" si="8"/>
        <v/>
      </c>
      <c r="DW35" s="1" t="str">
        <f t="shared" si="31"/>
        <v/>
      </c>
      <c r="DX35" s="1" t="str">
        <f t="shared" si="32"/>
        <v/>
      </c>
      <c r="DY35" s="5" t="str">
        <f t="shared" si="46"/>
        <v/>
      </c>
      <c r="DZ35" s="5" t="str">
        <f t="shared" si="33"/>
        <v/>
      </c>
      <c r="EA35" s="1" t="str">
        <f t="shared" si="34"/>
        <v/>
      </c>
      <c r="EB35" s="404">
        <f>IFERROR(INDEX($BN$4:$BN$17,MATCH(DW35,$BL$4:$BL$17,0),1),0)</f>
        <v>0</v>
      </c>
      <c r="EC35" s="421" t="str">
        <f t="shared" si="35"/>
        <v/>
      </c>
      <c r="ED35">
        <f t="shared" si="36"/>
        <v>0</v>
      </c>
      <c r="EE35" s="18">
        <f t="shared" si="37"/>
        <v>0</v>
      </c>
      <c r="EF35" s="1" t="str">
        <f t="shared" si="48"/>
        <v/>
      </c>
      <c r="EG35" s="1" t="str">
        <f t="shared" si="9"/>
        <v/>
      </c>
      <c r="EH35" s="1" t="str">
        <f t="shared" si="38"/>
        <v/>
      </c>
      <c r="EI35" s="88"/>
      <c r="EJ35" t="str">
        <f t="shared" si="39"/>
        <v/>
      </c>
      <c r="EO35" s="301"/>
      <c r="EP35" s="1">
        <f t="shared" si="10"/>
        <v>0</v>
      </c>
      <c r="EQ35" s="1">
        <f t="shared" si="11"/>
        <v>0</v>
      </c>
      <c r="EU35" s="1">
        <f t="shared" si="12"/>
        <v>0</v>
      </c>
      <c r="EV35" s="1">
        <f t="shared" si="13"/>
        <v>0</v>
      </c>
      <c r="EZ35" s="1">
        <f t="shared" si="14"/>
        <v>0</v>
      </c>
      <c r="FA35" s="1">
        <f t="shared" si="15"/>
        <v>0</v>
      </c>
      <c r="FE35" s="8"/>
      <c r="FF35" s="8"/>
      <c r="FJ35" s="8"/>
      <c r="FK35" s="8"/>
      <c r="FY35" s="1" t="s">
        <v>93</v>
      </c>
      <c r="FZ35" s="1">
        <v>2</v>
      </c>
      <c r="GC35" s="5">
        <f>EOMONTH(GA38,0)</f>
        <v>45930</v>
      </c>
      <c r="GI35">
        <v>12</v>
      </c>
      <c r="GJ35" t="s">
        <v>132</v>
      </c>
      <c r="GK35" t="s">
        <v>140</v>
      </c>
      <c r="GL35">
        <v>150000</v>
      </c>
    </row>
    <row r="36" spans="1:194" ht="24" customHeight="1" x14ac:dyDescent="0.25">
      <c r="A36" s="1054"/>
      <c r="B36" s="1112" t="s">
        <v>684</v>
      </c>
      <c r="C36" s="1113"/>
      <c r="D36" s="1113"/>
      <c r="E36" s="617"/>
      <c r="F36" s="715">
        <f t="shared" ref="F36:F46" ca="1" si="94">AN40</f>
        <v>2000</v>
      </c>
      <c r="G36" s="1050" t="s">
        <v>668</v>
      </c>
      <c r="H36" s="778" t="str">
        <f>INDEX(FYMONTH,1,0)</f>
        <v>Mar-2025</v>
      </c>
      <c r="I36" s="596"/>
      <c r="J36" s="33"/>
      <c r="K36" s="1037" t="s">
        <v>762</v>
      </c>
      <c r="L36" s="1038"/>
      <c r="M36" s="521" t="s">
        <v>47</v>
      </c>
      <c r="N36" s="512">
        <v>15</v>
      </c>
      <c r="O36" s="33"/>
      <c r="P36" s="612"/>
      <c r="Q36" s="1102"/>
      <c r="R36" s="1103"/>
      <c r="S36" s="601"/>
      <c r="W36" s="33"/>
      <c r="X36" s="484" t="str">
        <f t="shared" si="88"/>
        <v/>
      </c>
      <c r="Y36" s="484" t="str">
        <f t="shared" si="89"/>
        <v/>
      </c>
      <c r="Z36" s="485" t="str">
        <f t="shared" si="90"/>
        <v/>
      </c>
      <c r="AA36" s="485" t="str">
        <f t="shared" si="91"/>
        <v/>
      </c>
      <c r="AB36" s="546">
        <f t="shared" si="92"/>
        <v>0</v>
      </c>
      <c r="AC36" s="546">
        <f t="shared" si="93"/>
        <v>0</v>
      </c>
      <c r="AD36" s="424">
        <f t="shared" si="53"/>
        <v>0</v>
      </c>
      <c r="AE36" s="547"/>
      <c r="AF36" s="33"/>
      <c r="CN36">
        <v>33</v>
      </c>
      <c r="CP36" s="392">
        <v>49790</v>
      </c>
      <c r="CQ36" s="317"/>
      <c r="CS36" s="785" t="s">
        <v>1047</v>
      </c>
      <c r="CT36" s="23"/>
      <c r="CV36" t="str">
        <f>TEXT(CW36,"mmm-yyyy")</f>
        <v>Nov-2027</v>
      </c>
      <c r="CW36" s="5">
        <f t="shared" si="43"/>
        <v>46692</v>
      </c>
      <c r="CX36" s="5">
        <f t="shared" si="22"/>
        <v>46721</v>
      </c>
      <c r="CY36" s="4"/>
      <c r="DA36" s="1">
        <v>14</v>
      </c>
      <c r="DB36" s="5" t="str">
        <f t="shared" si="83"/>
        <v/>
      </c>
      <c r="DC36" s="5" t="str">
        <f>IFERROR(SMALL(($DA$15:$DA$19,$DB$15:$DB$19,$DC$15:$DC$19),CN17),"")</f>
        <v/>
      </c>
      <c r="DE36" s="1" t="str">
        <f t="shared" si="4"/>
        <v/>
      </c>
      <c r="DF36" s="4">
        <f t="shared" si="5"/>
        <v>46692</v>
      </c>
      <c r="DG36" t="str">
        <f t="shared" si="6"/>
        <v/>
      </c>
      <c r="DH36" s="4">
        <f t="shared" si="23"/>
        <v>46721</v>
      </c>
      <c r="DI36">
        <f>IFERROR(IF(AND($CS$3=2,DJ36="AGI",INDEX($DJ$4:$DJ$56,MATCH($DR$1,$DJ$4:DJ36,0),1)=$DR$1),2,0),0)</f>
        <v>0</v>
      </c>
      <c r="DJ36" s="1" t="str">
        <f t="shared" si="24"/>
        <v/>
      </c>
      <c r="DK36" s="5" t="str">
        <f t="shared" si="25"/>
        <v/>
      </c>
      <c r="DL36" s="222" t="str">
        <f t="shared" si="26"/>
        <v/>
      </c>
      <c r="DM36" s="225">
        <f t="shared" si="44"/>
        <v>0</v>
      </c>
      <c r="DN36" s="11">
        <f t="shared" si="27"/>
        <v>74770</v>
      </c>
      <c r="DO36" s="11" t="str">
        <f t="shared" ref="DO36:DO55" si="95">IFERROR(INDEX($DQ$3:$DR$3,1,MATCH(DJ36,$DQ$1:$DR$1,0)),"")</f>
        <v/>
      </c>
      <c r="DP36" s="233">
        <f t="shared" si="45"/>
        <v>74770</v>
      </c>
      <c r="DQ36" s="229" t="str">
        <f t="shared" ref="DQ36:DQ55" si="96">IFERROR(IF(DO36="","",IF(SUM(MATCH(DP36,$CP$4:$CP$89,0)-MATCH(DP35,$CP$4:$CP$89,0))&lt;=0,"",SUM(MATCH(DP36,$CP$4:$CP$89,0)-MATCH(DP35,$CP$4:$CP$89,0)))),"")</f>
        <v/>
      </c>
      <c r="DS36" s="1">
        <f t="shared" si="29"/>
        <v>0</v>
      </c>
      <c r="DT36" s="1">
        <f t="shared" si="30"/>
        <v>74770</v>
      </c>
      <c r="DV36" s="1" t="str">
        <f t="shared" ref="DV36:DV55" si="97">IF($N$13="","",IF(AND(NOT($DF$59=""),MATCH($DG$52,$DJ$4:$DJ$55,0)&gt;0,DK36=$DE$51),"HRA-1",IF(AND(NOT($DG$52=""),DJ36=$DG$52),"HRA-2",IF(AND(NOT($DG$54=""),DJ36=$DG$54),"HRA-3",""))))</f>
        <v/>
      </c>
      <c r="DW36" s="1" t="str">
        <f t="shared" si="31"/>
        <v/>
      </c>
      <c r="DX36" s="1" t="str">
        <f t="shared" si="32"/>
        <v/>
      </c>
      <c r="DY36" s="5" t="str">
        <f t="shared" si="46"/>
        <v/>
      </c>
      <c r="DZ36" s="5" t="str">
        <f t="shared" si="33"/>
        <v/>
      </c>
      <c r="EA36" s="1" t="str">
        <f t="shared" si="34"/>
        <v/>
      </c>
      <c r="EB36" s="404">
        <f t="shared" si="47"/>
        <v>0</v>
      </c>
      <c r="EC36" s="421" t="str">
        <f t="shared" si="35"/>
        <v/>
      </c>
      <c r="ED36">
        <f t="shared" si="36"/>
        <v>0</v>
      </c>
      <c r="EE36" s="18">
        <f t="shared" si="37"/>
        <v>0</v>
      </c>
      <c r="EF36" s="1" t="str">
        <f t="shared" ref="EF36:EF55" si="98">IFERROR(IF(AND(LEFT(DJ36,3)="S/L",EH36=15),ROUND(DT36*0.5,0),IF(DJ36=$DJ$59,$DL$61,IF(DJ36=$DJ$64,$DL$66,ROUND(SUM(EH36/EG36)*DT36,0)))),"")</f>
        <v/>
      </c>
      <c r="EG36" s="1" t="str">
        <f t="shared" ref="EG36:EG55" si="99">IFERROR(DAY(EOMONTH(DK36,0)),"")</f>
        <v/>
      </c>
      <c r="EH36" s="1" t="str">
        <f t="shared" si="38"/>
        <v/>
      </c>
      <c r="EI36" s="88"/>
      <c r="EJ36" t="str">
        <f t="shared" si="39"/>
        <v/>
      </c>
      <c r="EO36" s="301"/>
      <c r="EP36" s="1">
        <f t="shared" ref="EP36:EP55" si="100">IF($K$40=$EO$57,0,IF(AND(DK36&gt;=EP$1,$DK36&lt;=EQ$1),SUM(ROUND(EF36*$EQ$2%,0)-ROUND(EF36*$EP$2%,0)),0))</f>
        <v>0</v>
      </c>
      <c r="EQ36" s="1">
        <f t="shared" ref="EQ36:EQ55" si="101">IF($K$40=$EO$57,0,IF(AND(DK36&gt;=EP$1,$DK36&lt;=EQ$1),ROUND(EP36*10%,0),0))</f>
        <v>0</v>
      </c>
      <c r="EU36" s="1">
        <f t="shared" ref="EU36:EU55" si="102">IF($AR$44=$EO$57,0,IF(AND(DK36&gt;=$EU$1,$DK36&lt;=$EV$1),SUM(ROUND(EF36*$EV$2%,0)-ROUND(EF36*$EU$2%,0)),0))</f>
        <v>0</v>
      </c>
      <c r="EV36" s="1">
        <f t="shared" ref="EV36:EV55" si="103">IF($AR$44=$EO$57,0,IF(AND(DK36&gt;=$EU$1,$DK36&lt;=$EV$1),ROUND(EU36*10%,0),0))</f>
        <v>0</v>
      </c>
      <c r="EZ36" s="1">
        <f t="shared" ref="EZ36:EZ55" si="104">IF(AND(DK36&gt;=$EZ$1,$DK36&lt;=$FA$1),ROUND(EF36*$EY$2%,0),0)</f>
        <v>0</v>
      </c>
      <c r="FA36" s="1">
        <f t="shared" ref="FA36:FA55" si="105">IF(AND(DK36&gt;=$EZ$1,$DK36&lt;=$FA$1),ROUND(EF36*$FA$2%*10%,0)-(ROUND(EF36*$EZ$2%*10%,0)),0)</f>
        <v>0</v>
      </c>
      <c r="FE36" s="8"/>
      <c r="FF36" s="8"/>
      <c r="FJ36" s="8"/>
      <c r="FK36" s="8"/>
      <c r="GC36" s="5">
        <f>EOMONTH(GA39,0)</f>
        <v>45900</v>
      </c>
      <c r="GI36">
        <v>13</v>
      </c>
      <c r="GJ36" t="s">
        <v>132</v>
      </c>
      <c r="GK36" t="s">
        <v>141</v>
      </c>
      <c r="GL36">
        <v>150000</v>
      </c>
    </row>
    <row r="37" spans="1:194" ht="38.25" customHeight="1" x14ac:dyDescent="0.25">
      <c r="A37" s="1054"/>
      <c r="B37" s="784" t="s">
        <v>753</v>
      </c>
      <c r="C37" s="614" t="s">
        <v>1122</v>
      </c>
      <c r="D37" s="615" t="s">
        <v>1111</v>
      </c>
      <c r="E37" s="616" t="s">
        <v>1112</v>
      </c>
      <c r="F37" s="715">
        <f t="shared" ca="1" si="94"/>
        <v>2000</v>
      </c>
      <c r="G37" s="1050"/>
      <c r="H37" s="778" t="str">
        <f>INDEX(FYMONTH,2,0)</f>
        <v>Apr-2025</v>
      </c>
      <c r="I37" s="596"/>
      <c r="J37" s="33"/>
      <c r="K37" s="1037" t="s">
        <v>762</v>
      </c>
      <c r="L37" s="1038"/>
      <c r="M37" s="521" t="s">
        <v>47</v>
      </c>
      <c r="N37" s="512">
        <v>30</v>
      </c>
      <c r="O37" s="33"/>
      <c r="P37" s="612"/>
      <c r="Q37" s="1102" t="s">
        <v>696</v>
      </c>
      <c r="R37" s="1103"/>
      <c r="S37" s="601"/>
      <c r="W37" s="33"/>
      <c r="X37" s="484" t="str">
        <f t="shared" si="88"/>
        <v/>
      </c>
      <c r="Y37" s="484" t="str">
        <f t="shared" si="89"/>
        <v/>
      </c>
      <c r="Z37" s="485" t="str">
        <f t="shared" si="90"/>
        <v/>
      </c>
      <c r="AA37" s="485" t="str">
        <f t="shared" si="91"/>
        <v/>
      </c>
      <c r="AB37" s="546">
        <f t="shared" si="92"/>
        <v>0</v>
      </c>
      <c r="AC37" s="546">
        <f t="shared" si="93"/>
        <v>0</v>
      </c>
      <c r="AD37" s="424">
        <f t="shared" si="53"/>
        <v>0</v>
      </c>
      <c r="AE37" s="547"/>
      <c r="AF37" s="33"/>
      <c r="AR37" s="1128" t="s">
        <v>681</v>
      </c>
      <c r="AS37" s="1129"/>
      <c r="AT37" s="553" t="s">
        <v>1102</v>
      </c>
      <c r="AU37" s="775">
        <v>0.05</v>
      </c>
      <c r="CN37">
        <v>34</v>
      </c>
      <c r="CP37" s="392">
        <v>51140</v>
      </c>
      <c r="CQ37" s="7"/>
      <c r="CV37" t="str">
        <f t="shared" si="21"/>
        <v>Dec-2027</v>
      </c>
      <c r="CW37" s="5">
        <f t="shared" si="43"/>
        <v>46722</v>
      </c>
      <c r="CX37" s="5">
        <f t="shared" si="22"/>
        <v>46752</v>
      </c>
      <c r="CY37" s="4"/>
      <c r="DA37" s="1">
        <v>15</v>
      </c>
      <c r="DB37" s="5" t="str">
        <f t="shared" si="83"/>
        <v/>
      </c>
      <c r="DC37" s="5" t="str">
        <f>IFERROR(SMALL(($DA$15:$DA$19,$DB$15:$DB$19,$DC$15:$DC$19),CN18),"")</f>
        <v/>
      </c>
      <c r="DE37" s="1" t="str">
        <f t="shared" si="4"/>
        <v/>
      </c>
      <c r="DF37" s="4">
        <f t="shared" si="5"/>
        <v>46722</v>
      </c>
      <c r="DG37" t="str">
        <f t="shared" si="6"/>
        <v/>
      </c>
      <c r="DH37" s="4">
        <f t="shared" si="23"/>
        <v>46752</v>
      </c>
      <c r="DI37">
        <f>IFERROR(IF(AND($CS$3=2,DJ37="AGI",INDEX($DJ$4:$DJ$56,MATCH($DR$1,$DJ$4:DJ37,0),1)=$DR$1),2,0),0)</f>
        <v>0</v>
      </c>
      <c r="DJ37" s="1" t="str">
        <f t="shared" si="24"/>
        <v/>
      </c>
      <c r="DK37" s="5" t="str">
        <f t="shared" si="25"/>
        <v/>
      </c>
      <c r="DL37" s="222" t="str">
        <f t="shared" si="26"/>
        <v/>
      </c>
      <c r="DM37" s="225">
        <f t="shared" si="44"/>
        <v>0</v>
      </c>
      <c r="DN37" s="11">
        <f t="shared" ref="DN37:DN55" si="106">IF(DN36=$CP$2,$CP$2,IF(DK37&gt;=$DT$2,MAX($DU$2,INDEX($CP$4:$CP$89,MATCH(DN36,$CP$4:$CP$89,1)+DM37)),INDEX($CP$4:$CP$89,MATCH(DN36,$CP$4:$CP$89,1)+DM37)))</f>
        <v>74770</v>
      </c>
      <c r="DO37" s="11" t="str">
        <f t="shared" si="95"/>
        <v/>
      </c>
      <c r="DP37" s="233">
        <f t="shared" si="45"/>
        <v>74770</v>
      </c>
      <c r="DQ37" s="229" t="str">
        <f t="shared" si="96"/>
        <v/>
      </c>
      <c r="DS37" s="1">
        <f t="shared" si="29"/>
        <v>0</v>
      </c>
      <c r="DT37" s="1">
        <f t="shared" ref="DT37:DT55" si="107">IF(DN36=$CP$2,$CP$2,IF(DK37&gt;=$DT$2,MAX($DU$2,INDEX($CP$4:$CP$89,MATCH(DT36,$CP$4:$CP$89,1)+DS37)),INDEX($CP$4:$CP$89,MATCH(DT36,$CP$4:$CP$89,1)+DS37)))</f>
        <v>74770</v>
      </c>
      <c r="DV37" s="1" t="str">
        <f t="shared" si="97"/>
        <v/>
      </c>
      <c r="DW37" s="1" t="str">
        <f t="shared" si="31"/>
        <v/>
      </c>
      <c r="DX37" s="1" t="str">
        <f t="shared" si="32"/>
        <v/>
      </c>
      <c r="DY37" s="5" t="str">
        <f t="shared" si="46"/>
        <v/>
      </c>
      <c r="DZ37" s="5" t="str">
        <f t="shared" si="33"/>
        <v/>
      </c>
      <c r="EA37" s="1" t="str">
        <f t="shared" si="34"/>
        <v/>
      </c>
      <c r="EB37" s="404">
        <f t="shared" si="47"/>
        <v>0</v>
      </c>
      <c r="EC37" s="421" t="str">
        <f t="shared" si="35"/>
        <v/>
      </c>
      <c r="ED37">
        <f t="shared" si="36"/>
        <v>0</v>
      </c>
      <c r="EE37" s="18">
        <f t="shared" si="37"/>
        <v>0</v>
      </c>
      <c r="EF37" s="1" t="str">
        <f t="shared" si="98"/>
        <v/>
      </c>
      <c r="EG37" s="1" t="str">
        <f t="shared" si="99"/>
        <v/>
      </c>
      <c r="EH37" s="1" t="str">
        <f t="shared" si="38"/>
        <v/>
      </c>
      <c r="EI37" s="88"/>
      <c r="EJ37" t="str">
        <f t="shared" si="39"/>
        <v/>
      </c>
      <c r="EO37" s="301"/>
      <c r="EP37" s="1">
        <f t="shared" si="100"/>
        <v>0</v>
      </c>
      <c r="EQ37" s="1">
        <f t="shared" si="101"/>
        <v>0</v>
      </c>
      <c r="EU37" s="1">
        <f t="shared" si="102"/>
        <v>0</v>
      </c>
      <c r="EV37" s="1">
        <f t="shared" si="103"/>
        <v>0</v>
      </c>
      <c r="EZ37" s="1">
        <f t="shared" si="104"/>
        <v>0</v>
      </c>
      <c r="FA37" s="1">
        <f t="shared" si="105"/>
        <v>0</v>
      </c>
      <c r="FE37" s="8"/>
      <c r="FF37" s="8"/>
      <c r="FJ37" s="8"/>
      <c r="FK37" s="8"/>
      <c r="FX37" s="1"/>
      <c r="FY37" s="1"/>
      <c r="FZ37" s="1"/>
      <c r="GA37" s="1"/>
      <c r="GB37" s="1"/>
      <c r="GC37" s="1" t="s">
        <v>18</v>
      </c>
      <c r="GI37">
        <v>14</v>
      </c>
      <c r="GJ37" t="s">
        <v>132</v>
      </c>
      <c r="GK37" t="s">
        <v>142</v>
      </c>
      <c r="GL37">
        <v>150000</v>
      </c>
    </row>
    <row r="38" spans="1:194" ht="28.5" customHeight="1" x14ac:dyDescent="0.25">
      <c r="A38" s="1054"/>
      <c r="B38" s="780" t="s">
        <v>546</v>
      </c>
      <c r="C38" s="385"/>
      <c r="D38" s="533"/>
      <c r="E38" s="525"/>
      <c r="F38" s="715">
        <f t="shared" ca="1" si="94"/>
        <v>2000</v>
      </c>
      <c r="G38" s="1050"/>
      <c r="H38" s="778" t="str">
        <f>INDEX(FYMONTH,3,0)</f>
        <v>May-2025</v>
      </c>
      <c r="I38" s="596"/>
      <c r="J38" s="33"/>
      <c r="K38" s="1118" t="str">
        <f>UPPER("Enter  received -"&amp;'Statement(edit)'!S4&amp;"- DA Arrears,if not,enter 0 value in cells")</f>
        <v>ENTER  RECEIVED -CPS- DA ARREARS,IF NOT,ENTER 0 VALUE IN CELLS</v>
      </c>
      <c r="L38" s="1119"/>
      <c r="M38" s="1119"/>
      <c r="N38" s="1119"/>
      <c r="O38" s="1119"/>
      <c r="P38" s="1186" t="s">
        <v>1061</v>
      </c>
      <c r="Q38" s="1102"/>
      <c r="R38" s="1103"/>
      <c r="S38" s="601"/>
      <c r="W38" s="33"/>
      <c r="X38" s="484" t="str">
        <f t="shared" si="88"/>
        <v/>
      </c>
      <c r="Y38" s="484" t="str">
        <f t="shared" si="89"/>
        <v/>
      </c>
      <c r="Z38" s="485" t="str">
        <f t="shared" si="90"/>
        <v/>
      </c>
      <c r="AA38" s="485" t="str">
        <f t="shared" si="91"/>
        <v/>
      </c>
      <c r="AB38" s="546">
        <f t="shared" si="92"/>
        <v>0</v>
      </c>
      <c r="AC38" s="546">
        <f t="shared" si="93"/>
        <v>0</v>
      </c>
      <c r="AD38" s="424">
        <f t="shared" si="53"/>
        <v>0</v>
      </c>
      <c r="AE38" s="547"/>
      <c r="AF38" s="33"/>
      <c r="AR38" s="1116" t="s">
        <v>718</v>
      </c>
      <c r="AS38" s="1117"/>
      <c r="AT38" s="551" t="s">
        <v>1113</v>
      </c>
      <c r="AU38" s="552" t="s">
        <v>19</v>
      </c>
      <c r="CN38">
        <v>35</v>
      </c>
      <c r="CP38" s="392">
        <v>52600</v>
      </c>
      <c r="CQ38" s="7"/>
      <c r="CV38" t="str">
        <f t="shared" si="21"/>
        <v>Jan-2028</v>
      </c>
      <c r="CW38" s="5">
        <f t="shared" si="43"/>
        <v>46753</v>
      </c>
      <c r="CX38" s="5">
        <f t="shared" si="22"/>
        <v>46783</v>
      </c>
      <c r="CY38" s="4"/>
      <c r="DE38" s="1" t="str">
        <f t="shared" si="4"/>
        <v/>
      </c>
      <c r="DF38" s="4">
        <f t="shared" si="5"/>
        <v>46753</v>
      </c>
      <c r="DG38" t="str">
        <f t="shared" si="6"/>
        <v/>
      </c>
      <c r="DH38" s="4">
        <f t="shared" si="23"/>
        <v>46783</v>
      </c>
      <c r="DI38">
        <f>IFERROR(IF(AND($CS$3=2,DJ38="AGI",INDEX($DJ$4:$DJ$56,MATCH($DR$1,$DJ$4:DJ38,0),1)=$DR$1),2,0),0)</f>
        <v>0</v>
      </c>
      <c r="DJ38" s="1" t="str">
        <f t="shared" si="24"/>
        <v/>
      </c>
      <c r="DK38" s="5" t="str">
        <f t="shared" si="25"/>
        <v/>
      </c>
      <c r="DL38" s="222" t="str">
        <f t="shared" si="26"/>
        <v/>
      </c>
      <c r="DM38" s="225">
        <f t="shared" si="44"/>
        <v>0</v>
      </c>
      <c r="DN38" s="11">
        <f t="shared" si="106"/>
        <v>74770</v>
      </c>
      <c r="DO38" s="11" t="str">
        <f t="shared" si="95"/>
        <v/>
      </c>
      <c r="DP38" s="233">
        <f t="shared" si="45"/>
        <v>74770</v>
      </c>
      <c r="DQ38" s="229" t="str">
        <f t="shared" si="96"/>
        <v/>
      </c>
      <c r="DS38" s="1">
        <f t="shared" si="29"/>
        <v>0</v>
      </c>
      <c r="DT38" s="1">
        <f t="shared" si="107"/>
        <v>74770</v>
      </c>
      <c r="DV38" s="1" t="str">
        <f t="shared" si="97"/>
        <v/>
      </c>
      <c r="DW38" s="1" t="str">
        <f t="shared" si="31"/>
        <v/>
      </c>
      <c r="DX38" s="1" t="str">
        <f t="shared" si="32"/>
        <v/>
      </c>
      <c r="DY38" s="5" t="str">
        <f t="shared" si="46"/>
        <v/>
      </c>
      <c r="DZ38" s="5" t="str">
        <f t="shared" si="33"/>
        <v/>
      </c>
      <c r="EA38" s="1" t="str">
        <f t="shared" si="34"/>
        <v/>
      </c>
      <c r="EB38" s="404">
        <f t="shared" si="47"/>
        <v>0</v>
      </c>
      <c r="EC38" s="421" t="str">
        <f t="shared" si="35"/>
        <v/>
      </c>
      <c r="ED38">
        <f t="shared" si="36"/>
        <v>0</v>
      </c>
      <c r="EE38" s="18">
        <f t="shared" si="37"/>
        <v>0</v>
      </c>
      <c r="EF38" s="1" t="str">
        <f t="shared" si="98"/>
        <v/>
      </c>
      <c r="EG38" s="1" t="str">
        <f t="shared" si="99"/>
        <v/>
      </c>
      <c r="EH38" s="1" t="str">
        <f t="shared" si="38"/>
        <v/>
      </c>
      <c r="EI38" s="88"/>
      <c r="EJ38" t="str">
        <f t="shared" si="39"/>
        <v/>
      </c>
      <c r="EO38" s="301"/>
      <c r="EP38" s="1">
        <f t="shared" si="100"/>
        <v>0</v>
      </c>
      <c r="EQ38" s="1">
        <f t="shared" si="101"/>
        <v>0</v>
      </c>
      <c r="EU38" s="1">
        <f t="shared" si="102"/>
        <v>0</v>
      </c>
      <c r="EV38" s="1">
        <f t="shared" si="103"/>
        <v>0</v>
      </c>
      <c r="EZ38" s="1">
        <f t="shared" si="104"/>
        <v>0</v>
      </c>
      <c r="FA38" s="1">
        <f t="shared" si="105"/>
        <v>0</v>
      </c>
      <c r="FE38" s="8"/>
      <c r="FF38" s="8"/>
      <c r="FJ38" s="8"/>
      <c r="FK38" s="8"/>
      <c r="FX38" s="8">
        <f>INDEX(FZ31:FZ35,MATCH(N33,FY31:FY35,0),1)</f>
        <v>0</v>
      </c>
      <c r="FY38" s="8" t="s">
        <v>107</v>
      </c>
      <c r="FZ38" s="8" t="str">
        <f>DATA!M33</f>
        <v>Sep-2025</v>
      </c>
      <c r="GA38" s="442">
        <f>IFERROR(INDEX(DATA!$CW$4:$CW$48,MATCH(DATA!FZ38,DATA!$CV$4:$CV$48,0),1),DATA!$CX$48)</f>
        <v>45901</v>
      </c>
      <c r="GB38" s="8">
        <f>IFERROR(INDEX(Table!$N$7:$N$24,MATCH(DATA!GA38,Table!$G$7:$G$24,0),1),0)</f>
        <v>74770</v>
      </c>
      <c r="GC38" s="8">
        <f>IFERROR(ROUND(GB38/DAY(GC35)*FX38,0),0)</f>
        <v>0</v>
      </c>
      <c r="GI38">
        <v>15</v>
      </c>
      <c r="GJ38" t="s">
        <v>132</v>
      </c>
      <c r="GK38" t="s">
        <v>143</v>
      </c>
      <c r="GL38">
        <v>150000</v>
      </c>
    </row>
    <row r="39" spans="1:194" ht="26.65" customHeight="1" x14ac:dyDescent="0.25">
      <c r="A39" s="1054"/>
      <c r="B39" s="781" t="s">
        <v>99</v>
      </c>
      <c r="C39" s="385"/>
      <c r="D39" s="385"/>
      <c r="E39" s="525"/>
      <c r="F39" s="715">
        <f t="shared" ca="1" si="94"/>
        <v>3000</v>
      </c>
      <c r="G39" s="1050" t="s">
        <v>669</v>
      </c>
      <c r="H39" s="778" t="str">
        <f>INDEX(FYMONTH,4,0)</f>
        <v>Jun-2025</v>
      </c>
      <c r="I39" s="596"/>
      <c r="J39" s="33"/>
      <c r="K39" s="800" t="s">
        <v>1012</v>
      </c>
      <c r="L39" s="798" t="s">
        <v>1049</v>
      </c>
      <c r="M39" s="797" t="s">
        <v>1051</v>
      </c>
      <c r="N39" s="776" t="s">
        <v>1032</v>
      </c>
      <c r="O39" s="777" t="s">
        <v>1022</v>
      </c>
      <c r="P39" s="1186"/>
      <c r="Q39" s="33"/>
      <c r="R39" s="33"/>
      <c r="S39" s="601"/>
      <c r="W39" s="33"/>
      <c r="X39" s="484" t="str">
        <f t="shared" si="88"/>
        <v/>
      </c>
      <c r="Y39" s="484" t="str">
        <f t="shared" si="89"/>
        <v/>
      </c>
      <c r="Z39" s="485" t="str">
        <f t="shared" si="90"/>
        <v/>
      </c>
      <c r="AA39" s="485" t="str">
        <f t="shared" si="91"/>
        <v/>
      </c>
      <c r="AB39" s="546">
        <f t="shared" si="92"/>
        <v>0</v>
      </c>
      <c r="AC39" s="546">
        <f t="shared" si="93"/>
        <v>0</v>
      </c>
      <c r="AD39" s="424">
        <f t="shared" si="53"/>
        <v>0</v>
      </c>
      <c r="AE39" s="547"/>
      <c r="AF39" s="33"/>
      <c r="AL39" s="24"/>
      <c r="AR39" s="1124" t="s">
        <v>762</v>
      </c>
      <c r="AS39" s="1125"/>
      <c r="AT39" s="521" t="s">
        <v>47</v>
      </c>
      <c r="AU39" s="512">
        <v>30</v>
      </c>
      <c r="CN39">
        <v>36</v>
      </c>
      <c r="CP39" s="392">
        <v>54060</v>
      </c>
      <c r="CQ39" s="7"/>
      <c r="CV39" t="str">
        <f t="shared" si="21"/>
        <v>Feb-2028</v>
      </c>
      <c r="CW39" s="5">
        <f t="shared" si="43"/>
        <v>46784</v>
      </c>
      <c r="CX39" s="5">
        <f t="shared" si="22"/>
        <v>46812</v>
      </c>
      <c r="CY39" s="4"/>
      <c r="DE39" s="1" t="str">
        <f t="shared" si="4"/>
        <v/>
      </c>
      <c r="DF39" s="4">
        <f t="shared" si="5"/>
        <v>46784</v>
      </c>
      <c r="DG39" t="str">
        <f t="shared" si="6"/>
        <v/>
      </c>
      <c r="DH39" s="4">
        <f t="shared" si="23"/>
        <v>46812</v>
      </c>
      <c r="DI39">
        <f>IFERROR(IF(AND($CS$3=2,DJ39="AGI",INDEX($DJ$4:$DJ$56,MATCH($DR$1,$DJ$4:DJ39,0),1)=$DR$1),2,0),0)</f>
        <v>0</v>
      </c>
      <c r="DJ39" s="1" t="str">
        <f t="shared" si="24"/>
        <v/>
      </c>
      <c r="DK39" s="5" t="str">
        <f t="shared" si="25"/>
        <v/>
      </c>
      <c r="DL39" s="222" t="str">
        <f t="shared" si="26"/>
        <v/>
      </c>
      <c r="DM39" s="225">
        <f t="shared" si="44"/>
        <v>0</v>
      </c>
      <c r="DN39" s="11">
        <f t="shared" si="106"/>
        <v>74770</v>
      </c>
      <c r="DO39" s="11" t="str">
        <f t="shared" si="95"/>
        <v/>
      </c>
      <c r="DP39" s="233">
        <f t="shared" si="45"/>
        <v>74770</v>
      </c>
      <c r="DQ39" s="229" t="str">
        <f t="shared" si="96"/>
        <v/>
      </c>
      <c r="DS39" s="1">
        <f t="shared" si="29"/>
        <v>0</v>
      </c>
      <c r="DT39" s="1">
        <f t="shared" si="107"/>
        <v>74770</v>
      </c>
      <c r="DV39" s="1" t="str">
        <f t="shared" si="97"/>
        <v/>
      </c>
      <c r="DW39" s="1" t="str">
        <f t="shared" si="31"/>
        <v/>
      </c>
      <c r="DX39" s="1" t="str">
        <f t="shared" si="32"/>
        <v/>
      </c>
      <c r="DY39" s="5" t="str">
        <f t="shared" si="46"/>
        <v/>
      </c>
      <c r="DZ39" s="5" t="str">
        <f t="shared" si="33"/>
        <v/>
      </c>
      <c r="EA39" s="1" t="str">
        <f t="shared" si="34"/>
        <v/>
      </c>
      <c r="EB39" s="404">
        <f t="shared" si="47"/>
        <v>0</v>
      </c>
      <c r="EC39" s="421" t="str">
        <f t="shared" si="35"/>
        <v/>
      </c>
      <c r="ED39">
        <f t="shared" si="36"/>
        <v>0</v>
      </c>
      <c r="EE39" s="18">
        <f t="shared" si="37"/>
        <v>0</v>
      </c>
      <c r="EF39" s="1" t="str">
        <f t="shared" si="98"/>
        <v/>
      </c>
      <c r="EG39" s="1" t="str">
        <f t="shared" si="99"/>
        <v/>
      </c>
      <c r="EH39" s="1" t="str">
        <f t="shared" si="38"/>
        <v/>
      </c>
      <c r="EI39" s="88"/>
      <c r="EJ39" t="str">
        <f t="shared" si="39"/>
        <v/>
      </c>
      <c r="EO39" s="301"/>
      <c r="EP39" s="1">
        <f t="shared" si="100"/>
        <v>0</v>
      </c>
      <c r="EQ39" s="1">
        <f t="shared" si="101"/>
        <v>0</v>
      </c>
      <c r="EU39" s="1">
        <f t="shared" si="102"/>
        <v>0</v>
      </c>
      <c r="EV39" s="1">
        <f t="shared" si="103"/>
        <v>0</v>
      </c>
      <c r="EZ39" s="1">
        <f t="shared" si="104"/>
        <v>0</v>
      </c>
      <c r="FA39" s="1">
        <f t="shared" si="105"/>
        <v>0</v>
      </c>
      <c r="FE39" s="8"/>
      <c r="FF39" s="8"/>
      <c r="FJ39" s="8"/>
      <c r="FK39" s="8"/>
      <c r="FX39" s="8">
        <f>INDEX(FZ31:FZ35,MATCH(AU38,FY31:FY35,0),1)</f>
        <v>0</v>
      </c>
      <c r="FY39" s="8" t="s">
        <v>108</v>
      </c>
      <c r="FZ39" s="8" t="str">
        <f>DATA!AT38</f>
        <v>Aug-2025</v>
      </c>
      <c r="GA39" s="442">
        <f>IFERROR(INDEX(DATA!$CW$4:$CW$48,MATCH(DATA!FZ39,DATA!$CV$4:$CV$48,0),1),DATA!$CX$48)</f>
        <v>45870</v>
      </c>
      <c r="GB39" s="8">
        <f>IFERROR(INDEX(Table!$N$7:$N$24,MATCH(DATA!GA39,Table!$G$7:$G$24,0),1),"")</f>
        <v>74770</v>
      </c>
      <c r="GC39" s="8">
        <f>ROUND(GB39/DAY(GC36)*FX39,0)</f>
        <v>0</v>
      </c>
      <c r="GI39">
        <v>16</v>
      </c>
      <c r="GJ39" t="s">
        <v>132</v>
      </c>
      <c r="GK39" t="s">
        <v>144</v>
      </c>
      <c r="GL39">
        <v>150000</v>
      </c>
    </row>
    <row r="40" spans="1:194" ht="21" customHeight="1" x14ac:dyDescent="0.25">
      <c r="A40" s="1054"/>
      <c r="B40" s="781" t="s">
        <v>67</v>
      </c>
      <c r="C40" s="385"/>
      <c r="D40" s="385"/>
      <c r="E40" s="525"/>
      <c r="F40" s="715">
        <f t="shared" ca="1" si="94"/>
        <v>3000</v>
      </c>
      <c r="G40" s="1050"/>
      <c r="H40" s="778" t="str">
        <f>INDEX(FYMONTH,5,0)</f>
        <v>Jul-2025</v>
      </c>
      <c r="I40" s="596"/>
      <c r="J40" s="33"/>
      <c r="K40" s="816" t="s">
        <v>610</v>
      </c>
      <c r="L40" s="794">
        <v>0</v>
      </c>
      <c r="M40" s="622"/>
      <c r="N40" s="383">
        <v>0</v>
      </c>
      <c r="O40" s="383">
        <v>0</v>
      </c>
      <c r="P40" s="990">
        <v>1</v>
      </c>
      <c r="Q40" s="1106" t="s">
        <v>1124</v>
      </c>
      <c r="R40" s="1107"/>
      <c r="S40" s="601"/>
      <c r="W40" s="33"/>
      <c r="X40" s="484" t="str">
        <f t="shared" si="88"/>
        <v/>
      </c>
      <c r="Y40" s="484" t="str">
        <f t="shared" si="89"/>
        <v/>
      </c>
      <c r="Z40" s="485" t="str">
        <f t="shared" si="90"/>
        <v/>
      </c>
      <c r="AA40" s="485" t="str">
        <f t="shared" si="91"/>
        <v/>
      </c>
      <c r="AB40" s="546">
        <f t="shared" si="92"/>
        <v>0</v>
      </c>
      <c r="AC40" s="546">
        <f t="shared" si="93"/>
        <v>0</v>
      </c>
      <c r="AD40" s="424">
        <f t="shared" si="53"/>
        <v>0</v>
      </c>
      <c r="AE40" s="547"/>
      <c r="AF40" s="33"/>
      <c r="AJ40">
        <v>12</v>
      </c>
      <c r="AK40">
        <f ca="1">IF(I36&gt;1,"",ROUNDUP(SUM($F$48-SUM(I36))/12,-2))</f>
        <v>2000</v>
      </c>
      <c r="AL40" s="24">
        <f ca="1">ROUND(SUM($F$48-SUM(I36))/12,0)</f>
        <v>1910</v>
      </c>
      <c r="AM40">
        <f ca="1">ROUND(AL40/500,0)*500</f>
        <v>2000</v>
      </c>
      <c r="AN40">
        <f ca="1">IFERROR(MROUND(AL40,1000),AL40)</f>
        <v>2000</v>
      </c>
      <c r="CN40">
        <v>37</v>
      </c>
      <c r="CP40" s="392">
        <v>55520</v>
      </c>
      <c r="CQ40" s="7"/>
      <c r="CV40" t="str">
        <f t="shared" si="21"/>
        <v>Mar-2028</v>
      </c>
      <c r="CW40" s="5">
        <f t="shared" si="43"/>
        <v>46813</v>
      </c>
      <c r="CX40" s="5">
        <f t="shared" si="22"/>
        <v>46843</v>
      </c>
      <c r="CY40" s="4"/>
      <c r="DE40" s="1" t="str">
        <f t="shared" si="4"/>
        <v/>
      </c>
      <c r="DF40" s="4">
        <f t="shared" si="5"/>
        <v>46813</v>
      </c>
      <c r="DG40" t="str">
        <f t="shared" si="6"/>
        <v/>
      </c>
      <c r="DH40" s="4">
        <f t="shared" si="23"/>
        <v>46843</v>
      </c>
      <c r="DI40">
        <f>IFERROR(IF(AND($CS$3=2,DJ40="AGI",INDEX($DJ$4:$DJ$56,MATCH($DR$1,$DJ$4:DJ40,0),1)=$DR$1),2,0),0)</f>
        <v>0</v>
      </c>
      <c r="DJ40" s="1" t="str">
        <f t="shared" si="24"/>
        <v/>
      </c>
      <c r="DK40" s="5" t="str">
        <f t="shared" si="25"/>
        <v/>
      </c>
      <c r="DL40" s="222" t="str">
        <f t="shared" si="26"/>
        <v/>
      </c>
      <c r="DM40" s="225">
        <f t="shared" si="44"/>
        <v>0</v>
      </c>
      <c r="DN40" s="11">
        <f t="shared" si="106"/>
        <v>74770</v>
      </c>
      <c r="DO40" s="11" t="str">
        <f t="shared" si="95"/>
        <v/>
      </c>
      <c r="DP40" s="233">
        <f t="shared" si="45"/>
        <v>74770</v>
      </c>
      <c r="DQ40" s="229" t="str">
        <f t="shared" si="96"/>
        <v/>
      </c>
      <c r="DS40" s="1">
        <f t="shared" si="29"/>
        <v>0</v>
      </c>
      <c r="DT40" s="1">
        <f t="shared" si="107"/>
        <v>74770</v>
      </c>
      <c r="DV40" s="1" t="str">
        <f t="shared" si="97"/>
        <v/>
      </c>
      <c r="DW40" s="1" t="str">
        <f t="shared" si="31"/>
        <v/>
      </c>
      <c r="DX40" s="1" t="str">
        <f t="shared" si="32"/>
        <v/>
      </c>
      <c r="DY40" s="5" t="str">
        <f t="shared" si="46"/>
        <v/>
      </c>
      <c r="DZ40" s="5" t="str">
        <f t="shared" si="33"/>
        <v/>
      </c>
      <c r="EA40" s="1" t="str">
        <f t="shared" si="34"/>
        <v/>
      </c>
      <c r="EB40" s="404">
        <f t="shared" si="47"/>
        <v>0</v>
      </c>
      <c r="EC40" s="421" t="str">
        <f t="shared" si="35"/>
        <v/>
      </c>
      <c r="ED40">
        <f t="shared" si="36"/>
        <v>0</v>
      </c>
      <c r="EE40" s="18">
        <f t="shared" si="37"/>
        <v>0</v>
      </c>
      <c r="EF40" s="1" t="str">
        <f t="shared" si="98"/>
        <v/>
      </c>
      <c r="EG40" s="1" t="str">
        <f t="shared" si="99"/>
        <v/>
      </c>
      <c r="EH40" s="1" t="str">
        <f t="shared" si="38"/>
        <v/>
      </c>
      <c r="EI40" s="88"/>
      <c r="EJ40" t="str">
        <f t="shared" si="39"/>
        <v/>
      </c>
      <c r="EO40" s="301"/>
      <c r="EP40" s="1">
        <f t="shared" si="100"/>
        <v>0</v>
      </c>
      <c r="EQ40" s="1">
        <f t="shared" si="101"/>
        <v>0</v>
      </c>
      <c r="EU40" s="1">
        <f t="shared" si="102"/>
        <v>0</v>
      </c>
      <c r="EV40" s="1">
        <f t="shared" si="103"/>
        <v>0</v>
      </c>
      <c r="EZ40" s="1">
        <f t="shared" si="104"/>
        <v>0</v>
      </c>
      <c r="FA40" s="1">
        <f t="shared" si="105"/>
        <v>0</v>
      </c>
      <c r="FE40" s="8"/>
      <c r="FF40" s="8"/>
      <c r="FJ40" s="8"/>
      <c r="FK40" s="8"/>
      <c r="FX40" s="8"/>
      <c r="FY40" s="8" t="s">
        <v>12</v>
      </c>
      <c r="FZ40" s="8" t="str">
        <f>M30</f>
        <v>Mar-2025</v>
      </c>
      <c r="GA40" s="442">
        <f>IFERROR(INDEX(DATA!$CW$4:$CW$48,MATCH(DATA!FZ40,DATA!$CV$4:$CV$48,0),1),DATA!$CX$48)</f>
        <v>45717</v>
      </c>
      <c r="GB40" s="8"/>
      <c r="GC40" s="8">
        <f>N30</f>
        <v>20</v>
      </c>
      <c r="GI40">
        <v>17</v>
      </c>
      <c r="GJ40" t="s">
        <v>145</v>
      </c>
      <c r="GK40" t="s">
        <v>123</v>
      </c>
      <c r="GL40">
        <v>150000</v>
      </c>
    </row>
    <row r="41" spans="1:194" ht="27" customHeight="1" x14ac:dyDescent="0.25">
      <c r="A41" s="1054"/>
      <c r="B41" s="781" t="s">
        <v>82</v>
      </c>
      <c r="C41" s="385"/>
      <c r="D41" s="385"/>
      <c r="E41" s="525"/>
      <c r="F41" s="715">
        <f t="shared" ca="1" si="94"/>
        <v>3000</v>
      </c>
      <c r="G41" s="1050"/>
      <c r="H41" s="778" t="str">
        <f>INDEX(FYMONTH,6,0)</f>
        <v>Aug-2025</v>
      </c>
      <c r="I41" s="596"/>
      <c r="J41" s="33"/>
      <c r="K41" s="986" t="s">
        <v>1035</v>
      </c>
      <c r="L41" s="795">
        <v>0</v>
      </c>
      <c r="M41" s="622">
        <v>0</v>
      </c>
      <c r="N41" s="383">
        <v>0</v>
      </c>
      <c r="O41" s="383">
        <f t="shared" ref="O41:O42" si="108">L41-N41</f>
        <v>0</v>
      </c>
      <c r="P41" s="625"/>
      <c r="Q41" s="33"/>
      <c r="R41" s="33"/>
      <c r="S41" s="601"/>
      <c r="W41" s="33"/>
      <c r="X41" s="484" t="str">
        <f t="shared" si="88"/>
        <v/>
      </c>
      <c r="Y41" s="484" t="str">
        <f t="shared" si="89"/>
        <v/>
      </c>
      <c r="Z41" s="485" t="str">
        <f t="shared" si="90"/>
        <v/>
      </c>
      <c r="AA41" s="485" t="str">
        <f t="shared" si="91"/>
        <v/>
      </c>
      <c r="AB41" s="546">
        <f t="shared" si="92"/>
        <v>0</v>
      </c>
      <c r="AC41" s="546">
        <f t="shared" si="93"/>
        <v>0</v>
      </c>
      <c r="AD41" s="424">
        <f t="shared" si="53"/>
        <v>0</v>
      </c>
      <c r="AE41" s="547"/>
      <c r="AF41" s="33"/>
      <c r="AJ41">
        <v>11</v>
      </c>
      <c r="AK41">
        <f ca="1">IF(I37&gt;1,"",ROUNDUP(SUM($F$48-SUM($I$36:$I37))/AJ41,-2))</f>
        <v>2100</v>
      </c>
      <c r="AL41" s="24">
        <f ca="1">ROUND(SUM($F$48-SUM($I$36:$I36))/AJ41,0)</f>
        <v>2084</v>
      </c>
      <c r="AM41">
        <f t="shared" ref="AM41:AM50" ca="1" si="109">ROUND(AL41/500,0)*500</f>
        <v>2000</v>
      </c>
      <c r="AN41">
        <f t="shared" ref="AN41:AN50" ca="1" si="110">IFERROR(MROUND(AL41,1000),AL41)</f>
        <v>2000</v>
      </c>
      <c r="CN41">
        <v>38</v>
      </c>
      <c r="CP41" s="392">
        <v>57100</v>
      </c>
      <c r="CQ41" s="7"/>
      <c r="CV41" t="str">
        <f t="shared" si="21"/>
        <v>Apr-2028</v>
      </c>
      <c r="CW41" s="5">
        <f t="shared" si="43"/>
        <v>46844</v>
      </c>
      <c r="CX41" s="5">
        <f t="shared" si="22"/>
        <v>46873</v>
      </c>
      <c r="CY41" s="4"/>
      <c r="DE41" s="1" t="str">
        <f t="shared" si="4"/>
        <v/>
      </c>
      <c r="DF41" s="4">
        <f t="shared" si="5"/>
        <v>46844</v>
      </c>
      <c r="DG41" t="str">
        <f t="shared" si="6"/>
        <v/>
      </c>
      <c r="DH41" s="4">
        <f t="shared" si="23"/>
        <v>46873</v>
      </c>
      <c r="DI41">
        <f>IFERROR(IF(AND($CS$3=2,DJ41="AGI",INDEX($DJ$4:$DJ$56,MATCH($DR$1,$DJ$4:DJ41,0),1)=$DR$1),2,0),0)</f>
        <v>0</v>
      </c>
      <c r="DJ41" s="1" t="str">
        <f t="shared" si="24"/>
        <v/>
      </c>
      <c r="DK41" s="5" t="str">
        <f t="shared" si="25"/>
        <v/>
      </c>
      <c r="DL41" s="222" t="str">
        <f t="shared" si="26"/>
        <v/>
      </c>
      <c r="DM41" s="225">
        <f t="shared" si="44"/>
        <v>0</v>
      </c>
      <c r="DN41" s="11">
        <f t="shared" si="106"/>
        <v>74770</v>
      </c>
      <c r="DO41" s="11" t="str">
        <f t="shared" si="95"/>
        <v/>
      </c>
      <c r="DP41" s="233">
        <f t="shared" si="45"/>
        <v>74770</v>
      </c>
      <c r="DQ41" s="229" t="str">
        <f t="shared" si="96"/>
        <v/>
      </c>
      <c r="DS41" s="1">
        <f t="shared" si="29"/>
        <v>0</v>
      </c>
      <c r="DT41" s="1">
        <f t="shared" si="107"/>
        <v>74770</v>
      </c>
      <c r="DV41" s="1" t="str">
        <f t="shared" si="97"/>
        <v/>
      </c>
      <c r="DW41" s="1" t="str">
        <f t="shared" si="31"/>
        <v/>
      </c>
      <c r="DX41" s="1" t="str">
        <f t="shared" si="32"/>
        <v/>
      </c>
      <c r="DY41" s="5" t="str">
        <f t="shared" si="46"/>
        <v/>
      </c>
      <c r="DZ41" s="5" t="str">
        <f t="shared" si="33"/>
        <v/>
      </c>
      <c r="EA41" s="1" t="str">
        <f t="shared" si="34"/>
        <v/>
      </c>
      <c r="EB41" s="404">
        <f t="shared" si="47"/>
        <v>0</v>
      </c>
      <c r="EC41" s="421" t="str">
        <f t="shared" si="35"/>
        <v/>
      </c>
      <c r="ED41">
        <f t="shared" si="36"/>
        <v>0</v>
      </c>
      <c r="EE41" s="18">
        <f t="shared" si="37"/>
        <v>0</v>
      </c>
      <c r="EF41" s="1" t="str">
        <f t="shared" si="98"/>
        <v/>
      </c>
      <c r="EG41" s="1" t="str">
        <f t="shared" si="99"/>
        <v/>
      </c>
      <c r="EH41" s="1" t="str">
        <f t="shared" si="38"/>
        <v/>
      </c>
      <c r="EI41" s="88"/>
      <c r="EJ41" t="str">
        <f t="shared" si="39"/>
        <v/>
      </c>
      <c r="EO41" s="301"/>
      <c r="EP41" s="1">
        <f t="shared" si="100"/>
        <v>0</v>
      </c>
      <c r="EQ41" s="1">
        <f t="shared" si="101"/>
        <v>0</v>
      </c>
      <c r="EU41" s="1">
        <f t="shared" si="102"/>
        <v>0</v>
      </c>
      <c r="EV41" s="1">
        <f t="shared" si="103"/>
        <v>0</v>
      </c>
      <c r="EZ41" s="1">
        <f t="shared" si="104"/>
        <v>0</v>
      </c>
      <c r="FA41" s="1">
        <f t="shared" si="105"/>
        <v>0</v>
      </c>
      <c r="FE41" s="8"/>
      <c r="FF41" s="8"/>
      <c r="FJ41" s="8"/>
      <c r="FK41" s="8"/>
      <c r="FX41" s="8"/>
      <c r="FY41" s="8" t="s">
        <v>13</v>
      </c>
      <c r="FZ41" s="8" t="str">
        <f>M31</f>
        <v>Dec-2025</v>
      </c>
      <c r="GA41" s="442">
        <f>IFERROR(INDEX(DATA!$CW$4:$CW$48,MATCH(DATA!FZ41,DATA!$CV$4:$CV$48,0),1),DATA!$CX$48)</f>
        <v>45992</v>
      </c>
      <c r="GB41" s="8"/>
      <c r="GC41" s="8">
        <f>N31</f>
        <v>100</v>
      </c>
      <c r="GI41">
        <v>18</v>
      </c>
      <c r="GJ41" t="s">
        <v>132</v>
      </c>
      <c r="GK41" t="s">
        <v>146</v>
      </c>
      <c r="GL41">
        <v>150000</v>
      </c>
    </row>
    <row r="42" spans="1:194" ht="25.5" customHeight="1" x14ac:dyDescent="0.25">
      <c r="A42" s="1054"/>
      <c r="B42" s="782" t="str">
        <f>K21</f>
        <v>Others</v>
      </c>
      <c r="C42" s="385"/>
      <c r="D42" s="385"/>
      <c r="E42" s="525"/>
      <c r="F42" s="715">
        <f t="shared" ca="1" si="94"/>
        <v>4000</v>
      </c>
      <c r="G42" s="1050" t="s">
        <v>670</v>
      </c>
      <c r="H42" s="778" t="str">
        <f>INDEX(FYMONTH,7,0)</f>
        <v>Sep-2025</v>
      </c>
      <c r="I42" s="596"/>
      <c r="J42" s="33"/>
      <c r="K42" s="987" t="s">
        <v>1036</v>
      </c>
      <c r="L42" s="796">
        <v>0</v>
      </c>
      <c r="M42" s="622">
        <v>0</v>
      </c>
      <c r="N42" s="383">
        <v>0</v>
      </c>
      <c r="O42" s="383">
        <f t="shared" si="108"/>
        <v>0</v>
      </c>
      <c r="P42" s="625"/>
      <c r="Q42" s="33"/>
      <c r="R42" s="33"/>
      <c r="S42" s="601"/>
      <c r="W42" s="33"/>
      <c r="X42" s="484" t="str">
        <f t="shared" si="88"/>
        <v/>
      </c>
      <c r="Y42" s="484" t="str">
        <f t="shared" si="89"/>
        <v/>
      </c>
      <c r="Z42" s="485" t="str">
        <f t="shared" si="90"/>
        <v/>
      </c>
      <c r="AA42" s="485" t="str">
        <f t="shared" si="91"/>
        <v/>
      </c>
      <c r="AB42" s="546">
        <f t="shared" si="92"/>
        <v>0</v>
      </c>
      <c r="AC42" s="546">
        <f t="shared" si="93"/>
        <v>0</v>
      </c>
      <c r="AD42" s="424">
        <f t="shared" si="53"/>
        <v>0</v>
      </c>
      <c r="AE42" s="547"/>
      <c r="AF42" s="33"/>
      <c r="AJ42">
        <v>10</v>
      </c>
      <c r="AK42">
        <f ca="1">IF(I38&gt;1,"",ROUNDUP(SUM($F$48-SUM($I$36:$I38))/AJ42,-2))</f>
        <v>2300</v>
      </c>
      <c r="AL42" s="24">
        <f ca="1">ROUND(SUM($F$48-SUM($I$36:$I37))/AJ42,0)</f>
        <v>2292</v>
      </c>
      <c r="AM42">
        <f t="shared" ca="1" si="109"/>
        <v>2500</v>
      </c>
      <c r="AN42">
        <f t="shared" ca="1" si="110"/>
        <v>2000</v>
      </c>
      <c r="AR42" s="736" t="s">
        <v>1034</v>
      </c>
      <c r="AS42" s="725"/>
      <c r="AT42" s="730" t="s">
        <v>1027</v>
      </c>
      <c r="AU42" s="728" t="s">
        <v>1050</v>
      </c>
      <c r="AV42" s="728" t="s">
        <v>1025</v>
      </c>
      <c r="AW42" s="728" t="s">
        <v>1026</v>
      </c>
      <c r="AX42" s="742" t="s">
        <v>1023</v>
      </c>
      <c r="AY42" s="742" t="s">
        <v>1024</v>
      </c>
      <c r="AZ42" s="790" t="s">
        <v>1028</v>
      </c>
      <c r="BA42" s="790" t="s">
        <v>1030</v>
      </c>
      <c r="BB42" s="790" t="s">
        <v>1029</v>
      </c>
      <c r="BC42" s="791" t="s">
        <v>1019</v>
      </c>
      <c r="BD42" s="743">
        <f>IF($CS$11=M7,2,1)</f>
        <v>2</v>
      </c>
      <c r="CN42">
        <v>39</v>
      </c>
      <c r="CP42" s="392">
        <v>58680</v>
      </c>
      <c r="CQ42" s="7"/>
      <c r="CV42" t="str">
        <f t="shared" si="21"/>
        <v>May-2028</v>
      </c>
      <c r="CW42" s="5">
        <f t="shared" si="43"/>
        <v>46874</v>
      </c>
      <c r="CX42" s="5">
        <f t="shared" si="22"/>
        <v>46904</v>
      </c>
      <c r="CY42" s="4"/>
      <c r="DE42" s="1" t="str">
        <f t="shared" si="4"/>
        <v/>
      </c>
      <c r="DF42" s="4">
        <f t="shared" si="5"/>
        <v>46874</v>
      </c>
      <c r="DG42" t="str">
        <f t="shared" si="6"/>
        <v/>
      </c>
      <c r="DH42" s="4">
        <f t="shared" si="23"/>
        <v>46904</v>
      </c>
      <c r="DI42">
        <f>IFERROR(IF(AND($CS$3=2,DJ42="AGI",INDEX($DJ$4:$DJ$56,MATCH($DR$1,$DJ$4:DJ42,0),1)=$DR$1),2,0),0)</f>
        <v>0</v>
      </c>
      <c r="DJ42" s="1" t="str">
        <f t="shared" si="24"/>
        <v/>
      </c>
      <c r="DK42" s="5" t="str">
        <f t="shared" si="25"/>
        <v/>
      </c>
      <c r="DL42" s="222" t="str">
        <f t="shared" si="26"/>
        <v/>
      </c>
      <c r="DM42" s="225">
        <f t="shared" si="44"/>
        <v>0</v>
      </c>
      <c r="DN42" s="11">
        <f t="shared" si="106"/>
        <v>74770</v>
      </c>
      <c r="DO42" s="11" t="str">
        <f t="shared" si="95"/>
        <v/>
      </c>
      <c r="DP42" s="233">
        <f t="shared" si="45"/>
        <v>74770</v>
      </c>
      <c r="DQ42" s="229" t="str">
        <f t="shared" si="96"/>
        <v/>
      </c>
      <c r="DS42" s="1">
        <f t="shared" si="29"/>
        <v>0</v>
      </c>
      <c r="DT42" s="1">
        <f t="shared" si="107"/>
        <v>74770</v>
      </c>
      <c r="DV42" s="1" t="str">
        <f t="shared" si="97"/>
        <v/>
      </c>
      <c r="DW42" s="1" t="str">
        <f t="shared" si="31"/>
        <v/>
      </c>
      <c r="DX42" s="1" t="str">
        <f t="shared" si="32"/>
        <v/>
      </c>
      <c r="DY42" s="5" t="str">
        <f t="shared" si="46"/>
        <v/>
      </c>
      <c r="DZ42" s="5" t="str">
        <f t="shared" si="33"/>
        <v/>
      </c>
      <c r="EA42" s="1" t="str">
        <f t="shared" si="34"/>
        <v/>
      </c>
      <c r="EB42" s="404">
        <f t="shared" si="47"/>
        <v>0</v>
      </c>
      <c r="EC42" s="421" t="str">
        <f t="shared" si="35"/>
        <v/>
      </c>
      <c r="ED42">
        <f t="shared" si="36"/>
        <v>0</v>
      </c>
      <c r="EE42" s="18">
        <f t="shared" si="37"/>
        <v>0</v>
      </c>
      <c r="EF42" s="1" t="str">
        <f t="shared" si="98"/>
        <v/>
      </c>
      <c r="EG42" s="1" t="str">
        <f t="shared" si="99"/>
        <v/>
      </c>
      <c r="EH42" s="1" t="str">
        <f t="shared" si="38"/>
        <v/>
      </c>
      <c r="EI42" s="88"/>
      <c r="EJ42" t="str">
        <f t="shared" si="39"/>
        <v/>
      </c>
      <c r="EO42" s="301"/>
      <c r="EP42" s="1">
        <f t="shared" si="100"/>
        <v>0</v>
      </c>
      <c r="EQ42" s="1">
        <f t="shared" si="101"/>
        <v>0</v>
      </c>
      <c r="EU42" s="1">
        <f t="shared" si="102"/>
        <v>0</v>
      </c>
      <c r="EV42" s="1">
        <f t="shared" si="103"/>
        <v>0</v>
      </c>
      <c r="EZ42" s="1">
        <f t="shared" si="104"/>
        <v>0</v>
      </c>
      <c r="FA42" s="1">
        <f t="shared" si="105"/>
        <v>0</v>
      </c>
      <c r="FE42" s="8"/>
      <c r="FF42" s="8"/>
      <c r="FJ42" s="8"/>
      <c r="FK42" s="8"/>
      <c r="FX42" s="8"/>
      <c r="FY42" s="8" t="s">
        <v>623</v>
      </c>
      <c r="FZ42" s="989" t="str">
        <f>M32</f>
        <v>Mar-2025</v>
      </c>
      <c r="GA42" s="442">
        <f>IFERROR(INDEX(DATA!$CW$4:$CW$48,MATCH(DATA!FZ42,DATA!$CV$4:$CV$48,0),1),DATA!$CX$48)</f>
        <v>45717</v>
      </c>
      <c r="GB42" s="8"/>
      <c r="GC42" s="8">
        <v>0</v>
      </c>
    </row>
    <row r="43" spans="1:194" ht="25.5" customHeight="1" x14ac:dyDescent="0.25">
      <c r="A43" s="1054"/>
      <c r="B43" s="781" t="s">
        <v>627</v>
      </c>
      <c r="C43" s="385"/>
      <c r="D43" s="385"/>
      <c r="E43" s="525"/>
      <c r="F43" s="715">
        <f t="shared" ca="1" si="94"/>
        <v>5000</v>
      </c>
      <c r="G43" s="1050"/>
      <c r="H43" s="778" t="str">
        <f>INDEX(FYMONTH,8,0)</f>
        <v>Oct-2025</v>
      </c>
      <c r="I43" s="596"/>
      <c r="J43" s="33"/>
      <c r="K43" s="792"/>
      <c r="L43" s="33"/>
      <c r="M43" s="33"/>
      <c r="N43" s="33"/>
      <c r="O43" s="33"/>
      <c r="P43" s="625"/>
      <c r="Q43" s="1104" t="s">
        <v>700</v>
      </c>
      <c r="R43" s="1105"/>
      <c r="S43" s="601"/>
      <c r="W43" s="33"/>
      <c r="X43" s="484" t="str">
        <f t="shared" si="88"/>
        <v/>
      </c>
      <c r="Y43" s="484" t="str">
        <f t="shared" si="89"/>
        <v/>
      </c>
      <c r="Z43" s="485" t="str">
        <f t="shared" si="90"/>
        <v/>
      </c>
      <c r="AA43" s="485" t="str">
        <f t="shared" si="91"/>
        <v/>
      </c>
      <c r="AB43" s="546">
        <f t="shared" si="92"/>
        <v>0</v>
      </c>
      <c r="AC43" s="546">
        <f t="shared" si="93"/>
        <v>0</v>
      </c>
      <c r="AD43" s="424">
        <f t="shared" si="53"/>
        <v>0</v>
      </c>
      <c r="AE43" s="547"/>
      <c r="AF43" s="33"/>
      <c r="AJ43">
        <v>9</v>
      </c>
      <c r="AK43">
        <f ca="1">IF(I39&gt;1,"",ROUNDUP(SUM($F$48-SUM($I$36:$I39))/AJ43,-2))</f>
        <v>2600</v>
      </c>
      <c r="AL43" s="24">
        <f ca="1">ROUND(SUM($F$48-SUM($I$36:$I38))/AJ43,0)</f>
        <v>2547</v>
      </c>
      <c r="AM43">
        <f t="shared" ca="1" si="109"/>
        <v>2500</v>
      </c>
      <c r="AN43">
        <f t="shared" ca="1" si="110"/>
        <v>3000</v>
      </c>
      <c r="AR43" s="727" t="str">
        <f>K40</f>
        <v>N.A</v>
      </c>
      <c r="AS43" s="726" t="s">
        <v>610</v>
      </c>
      <c r="AT43" s="727" t="str">
        <f>"DA @"&amp;EQ2</f>
        <v>DA @37.31</v>
      </c>
      <c r="AU43" s="729">
        <f>IF(AND(M40&gt;=0,NOT(M40="")),M40,EP68)</f>
        <v>0</v>
      </c>
      <c r="AV43" s="729">
        <f>EQ68</f>
        <v>0</v>
      </c>
      <c r="AW43" s="729">
        <f>ER68</f>
        <v>0</v>
      </c>
      <c r="AX43" s="726">
        <v>28</v>
      </c>
      <c r="AY43" s="726">
        <f>P40</f>
        <v>1</v>
      </c>
      <c r="AZ43" s="726">
        <f>IF(NOT($BD$42=1),0,AU43)</f>
        <v>0</v>
      </c>
      <c r="BA43" s="726">
        <f>IF(NOT($BD$42=2),0,IF(AND(N40&gt;=0,NOT(N40="")),N40,AV43))</f>
        <v>0</v>
      </c>
      <c r="BB43" s="726">
        <f>IF(NOT($BD$42=2),0,IF(AND(O40&gt;=0,NOT(O40="")),O40,ROUND(AW43/AX43*AY43,0)))</f>
        <v>0</v>
      </c>
      <c r="BC43" s="817">
        <f>ROUND(AU43/AX43*AY43,0)</f>
        <v>0</v>
      </c>
      <c r="BD43" s="726">
        <f>IF($BD$42=1,IF(AND(L40&gt;0,NOT(L40="")),L40,AZ43),IF(AND(L40&gt;0,NOT(L40="")),L40,BA43+BB43))</f>
        <v>0</v>
      </c>
      <c r="CN43">
        <v>40</v>
      </c>
      <c r="CP43" s="392">
        <v>60260</v>
      </c>
      <c r="CQ43" s="6"/>
      <c r="CV43" t="str">
        <f t="shared" si="21"/>
        <v>Jun-2028</v>
      </c>
      <c r="CW43" s="5">
        <f t="shared" si="43"/>
        <v>46905</v>
      </c>
      <c r="CX43" s="5">
        <f t="shared" si="22"/>
        <v>46934</v>
      </c>
      <c r="CY43" s="4"/>
      <c r="DE43" s="1" t="str">
        <f t="shared" si="4"/>
        <v/>
      </c>
      <c r="DF43" s="4">
        <f t="shared" si="5"/>
        <v>46905</v>
      </c>
      <c r="DG43" t="str">
        <f t="shared" si="6"/>
        <v/>
      </c>
      <c r="DH43" s="4">
        <f t="shared" si="23"/>
        <v>46934</v>
      </c>
      <c r="DI43">
        <f>IFERROR(IF(AND($CS$3=2,DJ43="AGI",INDEX($DJ$4:$DJ$56,MATCH($DR$1,$DJ$4:DJ43,0),1)=$DR$1),2,0),0)</f>
        <v>0</v>
      </c>
      <c r="DJ43" s="1" t="str">
        <f t="shared" si="24"/>
        <v/>
      </c>
      <c r="DK43" s="5" t="str">
        <f t="shared" si="25"/>
        <v/>
      </c>
      <c r="DL43" s="222" t="str">
        <f t="shared" si="26"/>
        <v/>
      </c>
      <c r="DM43" s="225">
        <f t="shared" si="44"/>
        <v>0</v>
      </c>
      <c r="DN43" s="11">
        <f t="shared" si="106"/>
        <v>74770</v>
      </c>
      <c r="DO43" s="11" t="str">
        <f t="shared" si="95"/>
        <v/>
      </c>
      <c r="DP43" s="233">
        <f t="shared" si="45"/>
        <v>74770</v>
      </c>
      <c r="DQ43" s="229" t="str">
        <f t="shared" si="96"/>
        <v/>
      </c>
      <c r="DS43" s="1">
        <f t="shared" si="29"/>
        <v>0</v>
      </c>
      <c r="DT43" s="1">
        <f t="shared" si="107"/>
        <v>74770</v>
      </c>
      <c r="DV43" s="1" t="str">
        <f t="shared" si="97"/>
        <v/>
      </c>
      <c r="DW43" s="1" t="str">
        <f t="shared" si="31"/>
        <v/>
      </c>
      <c r="DX43" s="1" t="str">
        <f t="shared" si="32"/>
        <v/>
      </c>
      <c r="DY43" s="5" t="str">
        <f t="shared" si="46"/>
        <v/>
      </c>
      <c r="DZ43" s="5" t="str">
        <f t="shared" si="33"/>
        <v/>
      </c>
      <c r="EA43" s="1" t="str">
        <f t="shared" si="34"/>
        <v/>
      </c>
      <c r="EB43" s="404">
        <f t="shared" si="47"/>
        <v>0</v>
      </c>
      <c r="EC43" s="421" t="str">
        <f t="shared" si="35"/>
        <v/>
      </c>
      <c r="ED43">
        <f t="shared" si="36"/>
        <v>0</v>
      </c>
      <c r="EE43" s="18">
        <f t="shared" si="37"/>
        <v>0</v>
      </c>
      <c r="EF43" s="1" t="str">
        <f t="shared" si="98"/>
        <v/>
      </c>
      <c r="EG43" s="1" t="str">
        <f t="shared" si="99"/>
        <v/>
      </c>
      <c r="EH43" s="1" t="str">
        <f t="shared" si="38"/>
        <v/>
      </c>
      <c r="EI43" s="88"/>
      <c r="EJ43" t="str">
        <f t="shared" si="39"/>
        <v/>
      </c>
      <c r="EO43" s="301"/>
      <c r="EP43" s="1">
        <f t="shared" si="100"/>
        <v>0</v>
      </c>
      <c r="EQ43" s="1">
        <f t="shared" si="101"/>
        <v>0</v>
      </c>
      <c r="EU43" s="1">
        <f t="shared" si="102"/>
        <v>0</v>
      </c>
      <c r="EV43" s="1">
        <f t="shared" si="103"/>
        <v>0</v>
      </c>
      <c r="EZ43" s="1">
        <f t="shared" si="104"/>
        <v>0</v>
      </c>
      <c r="FA43" s="1">
        <f t="shared" si="105"/>
        <v>0</v>
      </c>
      <c r="FE43" s="8"/>
      <c r="FF43" s="8"/>
      <c r="FJ43" s="8"/>
      <c r="FK43" s="8"/>
    </row>
    <row r="44" spans="1:194" ht="25.5" customHeight="1" x14ac:dyDescent="0.25">
      <c r="A44" s="1055"/>
      <c r="B44" s="783" t="str">
        <f>$K$28</f>
        <v>Other Deduction</v>
      </c>
      <c r="C44" s="520"/>
      <c r="D44" s="520"/>
      <c r="E44" s="525"/>
      <c r="F44" s="715">
        <f t="shared" ca="1" si="94"/>
        <v>6000</v>
      </c>
      <c r="G44" s="1050"/>
      <c r="H44" s="778" t="str">
        <f>INDEX(FYMONTH,9,0)</f>
        <v>Nov-2025</v>
      </c>
      <c r="I44" s="596"/>
      <c r="J44" s="33"/>
      <c r="K44" s="1120" t="s">
        <v>1031</v>
      </c>
      <c r="L44" s="1121"/>
      <c r="M44" s="748" t="s">
        <v>131</v>
      </c>
      <c r="N44" s="1126" t="str">
        <f ca="1">IF(M44=BF13,"","To Exempt,Enter Rent @month Rs."&amp;ANNEXURE!N14&amp;"/")</f>
        <v>To Exempt,Enter Rent @month Rs.17600/</v>
      </c>
      <c r="O44" s="1127"/>
      <c r="P44" s="625"/>
      <c r="Q44" s="1104"/>
      <c r="R44" s="1105"/>
      <c r="S44" s="601"/>
      <c r="W44" s="33"/>
      <c r="X44" s="484" t="str">
        <f t="shared" si="88"/>
        <v/>
      </c>
      <c r="Y44" s="484" t="str">
        <f t="shared" si="89"/>
        <v/>
      </c>
      <c r="Z44" s="485" t="str">
        <f t="shared" si="90"/>
        <v/>
      </c>
      <c r="AA44" s="485" t="str">
        <f t="shared" si="91"/>
        <v/>
      </c>
      <c r="AB44" s="546">
        <f t="shared" si="92"/>
        <v>0</v>
      </c>
      <c r="AC44" s="546">
        <f t="shared" si="93"/>
        <v>0</v>
      </c>
      <c r="AD44" s="424">
        <f t="shared" si="53"/>
        <v>0</v>
      </c>
      <c r="AE44" s="547"/>
      <c r="AF44" s="33"/>
      <c r="AJ44">
        <v>8</v>
      </c>
      <c r="AK44">
        <f ca="1">IF(I40&gt;1,"",ROUNDUP(SUM($F$48-SUM($I$36:$I40))/AJ44,-2))</f>
        <v>2900</v>
      </c>
      <c r="AL44" s="24">
        <f ca="1">ROUND(SUM($F$48-SUM($I$36:$I39))/AJ44,0)</f>
        <v>2865</v>
      </c>
      <c r="AM44">
        <f t="shared" ca="1" si="109"/>
        <v>3000</v>
      </c>
      <c r="AN44">
        <f t="shared" ca="1" si="110"/>
        <v>3000</v>
      </c>
      <c r="AR44" s="737" t="s">
        <v>610</v>
      </c>
      <c r="AS44" s="726" t="s">
        <v>610</v>
      </c>
      <c r="AT44" s="727" t="str">
        <f>"DA @"&amp;EV2</f>
        <v>DA @33.67</v>
      </c>
      <c r="AU44" s="730"/>
      <c r="AV44" s="730"/>
      <c r="AW44" s="730"/>
      <c r="AX44" s="725"/>
      <c r="AY44" s="725"/>
      <c r="AZ44" s="725"/>
      <c r="BA44" s="725"/>
      <c r="BB44" s="725"/>
      <c r="BC44" s="740"/>
      <c r="BD44" s="726">
        <f t="shared" ref="BD44:BD49" si="111">IF($BD$42=1,AZ44,BA44+BB44)</f>
        <v>0</v>
      </c>
      <c r="CN44">
        <v>41</v>
      </c>
      <c r="CP44" s="392">
        <v>61960</v>
      </c>
      <c r="CQ44" s="6"/>
      <c r="CV44" t="str">
        <f t="shared" si="21"/>
        <v>Jul-2028</v>
      </c>
      <c r="CW44" s="5">
        <f t="shared" si="43"/>
        <v>46935</v>
      </c>
      <c r="CX44" s="5">
        <f t="shared" si="22"/>
        <v>46965</v>
      </c>
      <c r="CY44" s="4"/>
      <c r="DE44" s="1" t="str">
        <f t="shared" si="4"/>
        <v/>
      </c>
      <c r="DF44" s="4">
        <f t="shared" si="5"/>
        <v>46935</v>
      </c>
      <c r="DG44" t="str">
        <f t="shared" si="6"/>
        <v/>
      </c>
      <c r="DH44" s="4">
        <f t="shared" si="23"/>
        <v>46965</v>
      </c>
      <c r="DI44">
        <f>IFERROR(IF(AND($CS$3=2,DJ44="AGI",INDEX($DJ$4:$DJ$56,MATCH($DR$1,$DJ$4:DJ44,0),1)=$DR$1),2,0),0)</f>
        <v>0</v>
      </c>
      <c r="DJ44" s="1" t="str">
        <f t="shared" si="24"/>
        <v/>
      </c>
      <c r="DK44" s="5" t="str">
        <f t="shared" si="25"/>
        <v/>
      </c>
      <c r="DL44" s="222" t="str">
        <f t="shared" si="26"/>
        <v/>
      </c>
      <c r="DM44" s="225">
        <f t="shared" si="44"/>
        <v>0</v>
      </c>
      <c r="DN44" s="11">
        <f t="shared" si="106"/>
        <v>74770</v>
      </c>
      <c r="DO44" s="11" t="str">
        <f t="shared" si="95"/>
        <v/>
      </c>
      <c r="DP44" s="233">
        <f t="shared" si="45"/>
        <v>74770</v>
      </c>
      <c r="DQ44" s="229" t="str">
        <f t="shared" si="96"/>
        <v/>
      </c>
      <c r="DS44" s="1">
        <f t="shared" si="29"/>
        <v>0</v>
      </c>
      <c r="DT44" s="1">
        <f t="shared" si="107"/>
        <v>74770</v>
      </c>
      <c r="DV44" s="1" t="str">
        <f t="shared" si="97"/>
        <v/>
      </c>
      <c r="DW44" s="1" t="str">
        <f t="shared" si="31"/>
        <v/>
      </c>
      <c r="DX44" s="1" t="str">
        <f t="shared" si="32"/>
        <v/>
      </c>
      <c r="DY44" s="5" t="str">
        <f t="shared" si="46"/>
        <v/>
      </c>
      <c r="DZ44" s="5" t="str">
        <f t="shared" si="33"/>
        <v/>
      </c>
      <c r="EA44" s="1" t="str">
        <f t="shared" si="34"/>
        <v/>
      </c>
      <c r="EB44" s="404">
        <f t="shared" si="47"/>
        <v>0</v>
      </c>
      <c r="EC44" s="421" t="str">
        <f t="shared" si="35"/>
        <v/>
      </c>
      <c r="ED44">
        <f t="shared" si="36"/>
        <v>0</v>
      </c>
      <c r="EE44" s="18">
        <f t="shared" si="37"/>
        <v>0</v>
      </c>
      <c r="EF44" s="1" t="str">
        <f t="shared" si="98"/>
        <v/>
      </c>
      <c r="EG44" s="1" t="str">
        <f t="shared" si="99"/>
        <v/>
      </c>
      <c r="EH44" s="1" t="str">
        <f t="shared" si="38"/>
        <v/>
      </c>
      <c r="EI44" s="88"/>
      <c r="EJ44" t="str">
        <f t="shared" si="39"/>
        <v/>
      </c>
      <c r="EO44" s="301"/>
      <c r="EP44" s="1">
        <f t="shared" si="100"/>
        <v>0</v>
      </c>
      <c r="EQ44" s="1">
        <f t="shared" si="101"/>
        <v>0</v>
      </c>
      <c r="EU44" s="1">
        <f t="shared" si="102"/>
        <v>0</v>
      </c>
      <c r="EV44" s="1">
        <f t="shared" si="103"/>
        <v>0</v>
      </c>
      <c r="EZ44" s="1">
        <f t="shared" si="104"/>
        <v>0</v>
      </c>
      <c r="FA44" s="1">
        <f t="shared" si="105"/>
        <v>0</v>
      </c>
      <c r="FE44" s="8"/>
      <c r="FF44" s="8"/>
      <c r="FJ44" s="8"/>
      <c r="FK44" s="8"/>
    </row>
    <row r="45" spans="1:194" ht="25.5" customHeight="1" x14ac:dyDescent="0.25">
      <c r="A45" s="1151" t="s">
        <v>1044</v>
      </c>
      <c r="B45" s="1151"/>
      <c r="C45" s="1151"/>
      <c r="D45" s="1151"/>
      <c r="E45" s="1151"/>
      <c r="F45" s="715">
        <f t="shared" ca="1" si="94"/>
        <v>8000</v>
      </c>
      <c r="G45" s="1050" t="s">
        <v>671</v>
      </c>
      <c r="H45" s="779" t="str">
        <f>INDEX(FYMONTH,10,0)</f>
        <v>Dec-2025</v>
      </c>
      <c r="I45" s="596"/>
      <c r="J45" s="33"/>
      <c r="K45" s="1122" t="str">
        <f>IF(M44="Own","","Enter Rent@ one Month")</f>
        <v>Enter Rent@ one Month</v>
      </c>
      <c r="L45" s="1123"/>
      <c r="M45" s="159"/>
      <c r="N45" s="731" t="s">
        <v>1033</v>
      </c>
      <c r="O45" s="732"/>
      <c r="P45" s="625"/>
      <c r="Q45" s="1152" t="str">
        <f>"UPDATED INCOME TAX SOFTWARE FY "&amp;CH4</f>
        <v>UPDATED INCOME TAX SOFTWARE FY 2025-2026</v>
      </c>
      <c r="R45" s="1153"/>
      <c r="S45" s="601"/>
      <c r="W45" s="33"/>
      <c r="X45" s="484" t="str">
        <f t="shared" si="88"/>
        <v/>
      </c>
      <c r="Y45" s="484" t="str">
        <f t="shared" si="89"/>
        <v/>
      </c>
      <c r="Z45" s="485" t="str">
        <f t="shared" si="90"/>
        <v/>
      </c>
      <c r="AA45" s="485" t="str">
        <f t="shared" si="91"/>
        <v/>
      </c>
      <c r="AB45" s="546">
        <f t="shared" si="92"/>
        <v>0</v>
      </c>
      <c r="AC45" s="546">
        <f t="shared" si="93"/>
        <v>0</v>
      </c>
      <c r="AD45" s="424">
        <f t="shared" si="53"/>
        <v>0</v>
      </c>
      <c r="AE45" s="547"/>
      <c r="AF45" s="33"/>
      <c r="AJ45">
        <v>7</v>
      </c>
      <c r="AK45">
        <f ca="1">IF(I41&gt;1,"",ROUNDUP(SUM($F$48-SUM($I$36:$I41))/AJ45,-2))</f>
        <v>3300</v>
      </c>
      <c r="AL45" s="24">
        <f ca="1">ROUND(SUM($F$48-SUM($I$36:$I40))/AJ45,0)</f>
        <v>3275</v>
      </c>
      <c r="AM45">
        <f t="shared" ca="1" si="109"/>
        <v>3500</v>
      </c>
      <c r="AN45">
        <f t="shared" ca="1" si="110"/>
        <v>3000</v>
      </c>
      <c r="AR45" s="734" t="s">
        <v>610</v>
      </c>
      <c r="AS45" s="735" t="s">
        <v>610</v>
      </c>
      <c r="AT45" s="810" t="str">
        <f>"DA @"&amp;FA2</f>
        <v>DA @33.67</v>
      </c>
      <c r="AU45" s="730"/>
      <c r="AV45" s="730"/>
      <c r="AW45" s="730"/>
      <c r="AX45" s="725"/>
      <c r="AY45" s="725"/>
      <c r="AZ45" s="725"/>
      <c r="BA45" s="725"/>
      <c r="BB45" s="725"/>
      <c r="BC45" s="741"/>
      <c r="BD45" s="726">
        <f t="shared" si="111"/>
        <v>0</v>
      </c>
      <c r="CN45">
        <v>42</v>
      </c>
      <c r="CP45" s="392">
        <v>63660</v>
      </c>
      <c r="CQ45" s="6"/>
      <c r="CV45" t="str">
        <f t="shared" si="21"/>
        <v>Aug-2028</v>
      </c>
      <c r="CW45" s="5">
        <f t="shared" si="43"/>
        <v>46966</v>
      </c>
      <c r="CX45" s="5">
        <f t="shared" si="22"/>
        <v>46996</v>
      </c>
      <c r="CY45" s="4"/>
      <c r="DE45" s="1" t="str">
        <f>IFERROR(MATCH(DF45,$DB$23:$DB$37,0),"")</f>
        <v/>
      </c>
      <c r="DF45" s="4">
        <f t="shared" si="5"/>
        <v>46966</v>
      </c>
      <c r="DG45" t="str">
        <f t="shared" si="6"/>
        <v/>
      </c>
      <c r="DH45" s="4">
        <f t="shared" si="23"/>
        <v>46996</v>
      </c>
      <c r="DI45">
        <f>IFERROR(IF(AND($CS$3=2,DJ45="AGI",INDEX($DJ$4:$DJ$56,MATCH($DR$1,$DJ$4:DJ45,0),1)=$DR$1),2,0),0)</f>
        <v>0</v>
      </c>
      <c r="DJ45" s="1" t="str">
        <f t="shared" si="24"/>
        <v/>
      </c>
      <c r="DK45" s="5" t="str">
        <f t="shared" si="25"/>
        <v/>
      </c>
      <c r="DL45" s="222" t="str">
        <f t="shared" si="26"/>
        <v/>
      </c>
      <c r="DM45" s="225">
        <f t="shared" si="44"/>
        <v>0</v>
      </c>
      <c r="DN45" s="11">
        <f t="shared" si="106"/>
        <v>74770</v>
      </c>
      <c r="DO45" s="11" t="str">
        <f t="shared" si="95"/>
        <v/>
      </c>
      <c r="DP45" s="233">
        <f t="shared" si="45"/>
        <v>74770</v>
      </c>
      <c r="DQ45" s="229" t="str">
        <f t="shared" si="96"/>
        <v/>
      </c>
      <c r="DS45" s="1">
        <f t="shared" si="29"/>
        <v>0</v>
      </c>
      <c r="DT45" s="1">
        <f t="shared" si="107"/>
        <v>74770</v>
      </c>
      <c r="DV45" s="1" t="str">
        <f t="shared" si="97"/>
        <v/>
      </c>
      <c r="DW45" s="1" t="str">
        <f t="shared" si="31"/>
        <v/>
      </c>
      <c r="DX45" s="1" t="str">
        <f t="shared" si="32"/>
        <v/>
      </c>
      <c r="DY45" s="5" t="str">
        <f t="shared" si="46"/>
        <v/>
      </c>
      <c r="DZ45" s="5" t="str">
        <f t="shared" si="33"/>
        <v/>
      </c>
      <c r="EA45" s="1" t="str">
        <f t="shared" si="34"/>
        <v/>
      </c>
      <c r="EB45" s="404">
        <f t="shared" si="47"/>
        <v>0</v>
      </c>
      <c r="EC45" s="421" t="str">
        <f t="shared" si="35"/>
        <v/>
      </c>
      <c r="ED45">
        <f t="shared" si="36"/>
        <v>0</v>
      </c>
      <c r="EE45" s="18">
        <f t="shared" si="37"/>
        <v>0</v>
      </c>
      <c r="EF45" s="1" t="str">
        <f t="shared" si="98"/>
        <v/>
      </c>
      <c r="EG45" s="1" t="str">
        <f t="shared" si="99"/>
        <v/>
      </c>
      <c r="EH45" s="1" t="str">
        <f t="shared" si="38"/>
        <v/>
      </c>
      <c r="EI45" s="88"/>
      <c r="EJ45" t="str">
        <f t="shared" si="39"/>
        <v/>
      </c>
      <c r="EO45" s="301"/>
      <c r="EP45" s="1">
        <f t="shared" si="100"/>
        <v>0</v>
      </c>
      <c r="EQ45" s="1">
        <f t="shared" si="101"/>
        <v>0</v>
      </c>
      <c r="EU45" s="1">
        <f t="shared" si="102"/>
        <v>0</v>
      </c>
      <c r="EV45" s="1">
        <f t="shared" si="103"/>
        <v>0</v>
      </c>
      <c r="EZ45" s="1">
        <f t="shared" si="104"/>
        <v>0</v>
      </c>
      <c r="FA45" s="1">
        <f t="shared" si="105"/>
        <v>0</v>
      </c>
      <c r="FE45" s="8"/>
      <c r="FF45" s="8"/>
      <c r="FJ45" s="8"/>
      <c r="FK45" s="8"/>
      <c r="FY45" s="1" t="s">
        <v>674</v>
      </c>
      <c r="FZ45" s="1"/>
      <c r="GA45" s="1" t="s">
        <v>675</v>
      </c>
    </row>
    <row r="46" spans="1:194" ht="25.5" customHeight="1" thickBot="1" x14ac:dyDescent="0.3">
      <c r="A46" s="1151"/>
      <c r="B46" s="1151"/>
      <c r="C46" s="1151"/>
      <c r="D46" s="1151"/>
      <c r="E46" s="1151"/>
      <c r="F46" s="715">
        <f t="shared" ca="1" si="94"/>
        <v>11000</v>
      </c>
      <c r="G46" s="1050"/>
      <c r="H46" s="779" t="str">
        <f>INDEX(FYMONTH,11,0)</f>
        <v>Jan-2026</v>
      </c>
      <c r="I46" s="596"/>
      <c r="J46" s="33"/>
      <c r="K46" s="1122" t="s">
        <v>532</v>
      </c>
      <c r="L46" s="1123"/>
      <c r="M46" s="1145"/>
      <c r="N46" s="1145"/>
      <c r="O46" s="1146"/>
      <c r="P46" s="625"/>
      <c r="Q46" s="1154"/>
      <c r="R46" s="1155"/>
      <c r="S46" s="601"/>
      <c r="W46" s="33"/>
      <c r="X46" s="484" t="str">
        <f t="shared" si="88"/>
        <v/>
      </c>
      <c r="Y46" s="484" t="str">
        <f t="shared" si="89"/>
        <v/>
      </c>
      <c r="Z46" s="485" t="str">
        <f t="shared" si="90"/>
        <v/>
      </c>
      <c r="AA46" s="485" t="str">
        <f t="shared" si="91"/>
        <v/>
      </c>
      <c r="AB46" s="546">
        <f t="shared" si="92"/>
        <v>0</v>
      </c>
      <c r="AC46" s="546">
        <f t="shared" si="93"/>
        <v>0</v>
      </c>
      <c r="AD46" s="424">
        <f t="shared" si="53"/>
        <v>0</v>
      </c>
      <c r="AE46" s="547"/>
      <c r="AF46" s="33"/>
      <c r="AJ46">
        <v>6</v>
      </c>
      <c r="AK46">
        <f ca="1">IF(I42&gt;1,"",ROUNDUP(SUM($F$48-SUM($I$36:$I42))/AJ46,-2))</f>
        <v>3900</v>
      </c>
      <c r="AL46" s="24">
        <f ca="1">ROUND(SUM($F$48-SUM($I$36:$I41))/AJ46,0)</f>
        <v>3820</v>
      </c>
      <c r="AM46">
        <f ca="1">ROUND(AL46/500,0)*500</f>
        <v>4000</v>
      </c>
      <c r="AN46">
        <f t="shared" ca="1" si="110"/>
        <v>4000</v>
      </c>
      <c r="AR46" s="538" t="s">
        <v>610</v>
      </c>
      <c r="AS46" s="726" t="s">
        <v>610</v>
      </c>
      <c r="AT46" s="811" t="str">
        <f>"DA @"&amp;FF2</f>
        <v>DA @33.67</v>
      </c>
      <c r="AU46" s="730"/>
      <c r="AV46" s="730"/>
      <c r="AW46" s="730"/>
      <c r="AX46" s="725"/>
      <c r="AY46" s="725"/>
      <c r="AZ46" s="725"/>
      <c r="BA46" s="725"/>
      <c r="BB46" s="725"/>
      <c r="BC46" s="739"/>
      <c r="BD46" s="726">
        <f t="shared" si="111"/>
        <v>0</v>
      </c>
      <c r="CN46">
        <v>43</v>
      </c>
      <c r="CP46" s="392">
        <v>65360</v>
      </c>
      <c r="CQ46" s="6"/>
      <c r="CV46" t="str">
        <f t="shared" si="21"/>
        <v>Sep-2028</v>
      </c>
      <c r="CW46" s="5">
        <f t="shared" si="43"/>
        <v>46997</v>
      </c>
      <c r="CX46" s="5">
        <f t="shared" si="22"/>
        <v>47026</v>
      </c>
      <c r="CY46" s="4"/>
      <c r="DE46" s="1" t="str">
        <f t="shared" si="4"/>
        <v/>
      </c>
      <c r="DF46" s="4">
        <f t="shared" si="5"/>
        <v>46997</v>
      </c>
      <c r="DG46" t="str">
        <f t="shared" si="6"/>
        <v/>
      </c>
      <c r="DH46" s="4">
        <f>IFERROR(EOMONTH(DF46,0),"")</f>
        <v>47026</v>
      </c>
      <c r="DI46">
        <f>IFERROR(IF(AND($CS$3=2,DJ46="AGI",INDEX($DJ$4:$DJ$56,MATCH($DR$1,$DJ$4:DJ46,0),1)=$DR$1),2,0),0)</f>
        <v>0</v>
      </c>
      <c r="DJ46" s="1" t="str">
        <f t="shared" si="24"/>
        <v/>
      </c>
      <c r="DK46" s="5" t="str">
        <f t="shared" si="25"/>
        <v/>
      </c>
      <c r="DL46" s="222" t="str">
        <f t="shared" si="26"/>
        <v/>
      </c>
      <c r="DM46" s="225">
        <f t="shared" si="44"/>
        <v>0</v>
      </c>
      <c r="DN46" s="11">
        <f t="shared" si="106"/>
        <v>74770</v>
      </c>
      <c r="DO46" s="11" t="str">
        <f t="shared" si="95"/>
        <v/>
      </c>
      <c r="DP46" s="233">
        <f>MAX(DP45,DN46:DO46)</f>
        <v>74770</v>
      </c>
      <c r="DQ46" s="229" t="str">
        <f t="shared" si="96"/>
        <v/>
      </c>
      <c r="DS46" s="1">
        <f t="shared" si="29"/>
        <v>0</v>
      </c>
      <c r="DT46" s="1">
        <f t="shared" si="107"/>
        <v>74770</v>
      </c>
      <c r="DV46" s="1" t="str">
        <f t="shared" si="97"/>
        <v/>
      </c>
      <c r="DW46" s="1" t="str">
        <f t="shared" si="31"/>
        <v/>
      </c>
      <c r="DX46" s="1" t="str">
        <f t="shared" si="32"/>
        <v/>
      </c>
      <c r="DY46" s="5" t="str">
        <f t="shared" si="46"/>
        <v/>
      </c>
      <c r="DZ46" s="5" t="str">
        <f t="shared" si="33"/>
        <v/>
      </c>
      <c r="EA46" s="1" t="str">
        <f t="shared" si="34"/>
        <v/>
      </c>
      <c r="EB46" s="404">
        <f t="shared" si="47"/>
        <v>0</v>
      </c>
      <c r="EC46" s="421" t="str">
        <f t="shared" si="35"/>
        <v/>
      </c>
      <c r="ED46">
        <f t="shared" si="36"/>
        <v>0</v>
      </c>
      <c r="EE46" s="18">
        <f t="shared" si="37"/>
        <v>0</v>
      </c>
      <c r="EF46" s="1" t="str">
        <f t="shared" si="98"/>
        <v/>
      </c>
      <c r="EG46" s="1" t="str">
        <f t="shared" si="99"/>
        <v/>
      </c>
      <c r="EH46" s="1" t="str">
        <f t="shared" si="38"/>
        <v/>
      </c>
      <c r="EI46" s="88"/>
      <c r="EJ46" t="str">
        <f t="shared" si="39"/>
        <v/>
      </c>
      <c r="EO46" s="301"/>
      <c r="EP46" s="1">
        <f t="shared" si="100"/>
        <v>0</v>
      </c>
      <c r="EQ46" s="1">
        <f t="shared" si="101"/>
        <v>0</v>
      </c>
      <c r="EU46" s="1">
        <f t="shared" si="102"/>
        <v>0</v>
      </c>
      <c r="EV46" s="1">
        <f t="shared" si="103"/>
        <v>0</v>
      </c>
      <c r="EZ46" s="1">
        <f t="shared" si="104"/>
        <v>0</v>
      </c>
      <c r="FA46" s="1">
        <f t="shared" si="105"/>
        <v>0</v>
      </c>
      <c r="FE46" s="8"/>
      <c r="FF46" s="8"/>
      <c r="FJ46" s="8"/>
      <c r="FK46" s="8"/>
      <c r="FY46" s="424" t="str">
        <f>DATA!AT37</f>
        <v>Mar-2025</v>
      </c>
      <c r="FZ46" s="5">
        <f>INDEX(DATA!$CG$11:$CG$22,MATCH(DATA!FY46,_MONTHS,0),1)</f>
        <v>45717</v>
      </c>
      <c r="GA46" s="1">
        <v>0</v>
      </c>
      <c r="GB46" t="s">
        <v>1120</v>
      </c>
    </row>
    <row r="47" spans="1:194" ht="25.5" customHeight="1" thickBot="1" x14ac:dyDescent="0.3">
      <c r="A47" s="1151"/>
      <c r="B47" s="1151"/>
      <c r="C47" s="1151"/>
      <c r="D47" s="1151"/>
      <c r="E47" s="1151"/>
      <c r="F47" s="716">
        <f ca="1">IF(I47&gt;1,"",SUM($F$48-SUM($I$36:$I47))/1)</f>
        <v>22922</v>
      </c>
      <c r="G47" s="1150"/>
      <c r="H47" s="803" t="str">
        <f>INDEX(FYMONTH,12,0)</f>
        <v>Feb-2026</v>
      </c>
      <c r="I47" s="804"/>
      <c r="J47" s="33"/>
      <c r="K47" s="1132" t="s">
        <v>625</v>
      </c>
      <c r="L47" s="1133"/>
      <c r="M47" s="1158"/>
      <c r="N47" s="1158"/>
      <c r="O47" s="1159"/>
      <c r="P47" s="625"/>
      <c r="Q47" s="1156" t="s">
        <v>698</v>
      </c>
      <c r="R47" s="1157"/>
      <c r="S47" s="601"/>
      <c r="W47" s="33"/>
      <c r="X47" s="484" t="str">
        <f t="shared" si="88"/>
        <v/>
      </c>
      <c r="Y47" s="484" t="str">
        <f t="shared" si="89"/>
        <v/>
      </c>
      <c r="Z47" s="485" t="str">
        <f t="shared" si="90"/>
        <v/>
      </c>
      <c r="AA47" s="485" t="str">
        <f t="shared" si="91"/>
        <v/>
      </c>
      <c r="AB47" s="546">
        <f t="shared" si="92"/>
        <v>0</v>
      </c>
      <c r="AC47" s="546">
        <f t="shared" si="93"/>
        <v>0</v>
      </c>
      <c r="AD47" s="424">
        <f t="shared" si="53"/>
        <v>0</v>
      </c>
      <c r="AE47" s="547"/>
      <c r="AF47" s="33"/>
      <c r="AJ47">
        <v>5</v>
      </c>
      <c r="AK47">
        <f ca="1">IF(I43&gt;1,"",ROUNDUP(SUM($F$48-SUM($I$36:$I43))/AJ47,-2))</f>
        <v>4600</v>
      </c>
      <c r="AL47" s="24">
        <f ca="1">ROUND(SUM($F$48-SUM($I$36:$I42))/AJ47,0)</f>
        <v>4584</v>
      </c>
      <c r="AM47">
        <f t="shared" ca="1" si="109"/>
        <v>4500</v>
      </c>
      <c r="AN47">
        <f t="shared" ca="1" si="110"/>
        <v>5000</v>
      </c>
      <c r="AR47" s="724" t="s">
        <v>610</v>
      </c>
      <c r="AS47" s="726" t="s">
        <v>610</v>
      </c>
      <c r="AT47" s="812" t="str">
        <f>"DA @"&amp;FK2</f>
        <v>DA @37.31</v>
      </c>
      <c r="AU47" s="730"/>
      <c r="AV47" s="730"/>
      <c r="AW47" s="730"/>
      <c r="AX47" s="725"/>
      <c r="AY47" s="725"/>
      <c r="AZ47" s="725"/>
      <c r="BA47" s="725"/>
      <c r="BB47" s="725"/>
      <c r="BC47" s="739"/>
      <c r="BD47" s="726">
        <f t="shared" si="111"/>
        <v>0</v>
      </c>
      <c r="CN47">
        <v>44</v>
      </c>
      <c r="CP47" s="392">
        <v>67190</v>
      </c>
      <c r="CV47" t="str">
        <f t="shared" si="21"/>
        <v>Oct-2028</v>
      </c>
      <c r="CW47" s="5">
        <f t="shared" si="43"/>
        <v>47027</v>
      </c>
      <c r="CX47" s="5">
        <f t="shared" si="22"/>
        <v>47057</v>
      </c>
      <c r="CY47" s="4"/>
      <c r="DE47" s="1" t="str">
        <f t="shared" si="4"/>
        <v/>
      </c>
      <c r="DF47" s="4">
        <f>CW47</f>
        <v>47027</v>
      </c>
      <c r="DG47" t="str">
        <f t="shared" si="6"/>
        <v/>
      </c>
      <c r="DH47" s="4">
        <f t="shared" si="23"/>
        <v>47057</v>
      </c>
      <c r="DI47">
        <f>IFERROR(IF(AND($CS$3=2,DJ47="AGI",INDEX($DJ$4:$DJ$56,MATCH($DR$1,$DJ$4:DJ47,0),1)=$DR$1),2,0),0)</f>
        <v>0</v>
      </c>
      <c r="DJ47" s="1" t="str">
        <f>IFERROR(IF(AND(NOT($DE$51=""),DK47=$DE$51),$DG$51,IF(AND(NOT($DE$53=""),DK47=$DE$53),$DG$53,INDEX($DG$4:$DG$58,MATCH(DK47,$DF$4:$DF$58,0),1))),"")</f>
        <v/>
      </c>
      <c r="DK47" s="5" t="str">
        <f t="shared" si="25"/>
        <v/>
      </c>
      <c r="DL47" s="222" t="str">
        <f t="shared" si="26"/>
        <v/>
      </c>
      <c r="DM47" s="225">
        <f t="shared" si="44"/>
        <v>0</v>
      </c>
      <c r="DN47" s="11">
        <f t="shared" si="106"/>
        <v>74770</v>
      </c>
      <c r="DO47" s="11" t="str">
        <f t="shared" si="95"/>
        <v/>
      </c>
      <c r="DP47" s="233">
        <f t="shared" si="45"/>
        <v>74770</v>
      </c>
      <c r="DQ47" s="229" t="str">
        <f t="shared" si="96"/>
        <v/>
      </c>
      <c r="DS47" s="1">
        <f t="shared" si="29"/>
        <v>0</v>
      </c>
      <c r="DT47" s="1">
        <f t="shared" si="107"/>
        <v>74770</v>
      </c>
      <c r="DV47" s="1" t="str">
        <f t="shared" si="97"/>
        <v/>
      </c>
      <c r="DW47" s="1" t="str">
        <f t="shared" si="31"/>
        <v/>
      </c>
      <c r="DX47" s="1" t="str">
        <f t="shared" si="32"/>
        <v/>
      </c>
      <c r="DY47" s="5" t="str">
        <f t="shared" si="46"/>
        <v/>
      </c>
      <c r="DZ47" s="5" t="str">
        <f t="shared" si="33"/>
        <v/>
      </c>
      <c r="EA47" s="1" t="str">
        <f t="shared" si="34"/>
        <v/>
      </c>
      <c r="EB47" s="404">
        <f t="shared" si="47"/>
        <v>0</v>
      </c>
      <c r="EC47" s="421" t="str">
        <f t="shared" si="35"/>
        <v/>
      </c>
      <c r="ED47">
        <f t="shared" si="36"/>
        <v>0</v>
      </c>
      <c r="EE47" s="18">
        <f t="shared" si="37"/>
        <v>0</v>
      </c>
      <c r="EF47" s="1" t="str">
        <f t="shared" si="98"/>
        <v/>
      </c>
      <c r="EG47" s="1" t="str">
        <f t="shared" si="99"/>
        <v/>
      </c>
      <c r="EH47" s="1" t="str">
        <f t="shared" si="38"/>
        <v/>
      </c>
      <c r="EI47" s="88"/>
      <c r="EJ47" t="str">
        <f t="shared" si="39"/>
        <v/>
      </c>
      <c r="EO47" s="301"/>
      <c r="EP47" s="1">
        <f t="shared" si="100"/>
        <v>0</v>
      </c>
      <c r="EQ47" s="1">
        <f t="shared" si="101"/>
        <v>0</v>
      </c>
      <c r="EU47" s="1">
        <f t="shared" si="102"/>
        <v>0</v>
      </c>
      <c r="EV47" s="1">
        <f t="shared" si="103"/>
        <v>0</v>
      </c>
      <c r="EZ47" s="1">
        <f t="shared" si="104"/>
        <v>0</v>
      </c>
      <c r="FA47" s="1">
        <f t="shared" si="105"/>
        <v>0</v>
      </c>
      <c r="FE47" s="8"/>
      <c r="FF47" s="8"/>
      <c r="FJ47" s="8"/>
      <c r="FK47" s="8"/>
      <c r="FY47" s="1"/>
      <c r="FZ47" s="1"/>
      <c r="GA47" s="1"/>
    </row>
    <row r="48" spans="1:194" ht="25.5" customHeight="1" thickTop="1" thickBot="1" x14ac:dyDescent="0.3">
      <c r="A48" s="1151"/>
      <c r="B48" s="1151"/>
      <c r="C48" s="1151"/>
      <c r="D48" s="1151"/>
      <c r="E48" s="1151"/>
      <c r="F48" s="717">
        <f ca="1">ROUND(SUM(ANNEXURE!K64)-ANNEXURE!K65,0)</f>
        <v>22922</v>
      </c>
      <c r="G48" s="1160" t="s">
        <v>1054</v>
      </c>
      <c r="H48" s="1160"/>
      <c r="I48" s="805">
        <f ca="1">F48-SUM(I36:I47)</f>
        <v>22922</v>
      </c>
      <c r="J48" s="33"/>
      <c r="K48" s="631" t="s">
        <v>676</v>
      </c>
      <c r="L48" s="632"/>
      <c r="M48" s="633" t="s">
        <v>682</v>
      </c>
      <c r="N48" s="634"/>
      <c r="O48" s="635" t="s">
        <v>659</v>
      </c>
      <c r="P48" s="625"/>
      <c r="Q48" s="1161" t="s">
        <v>697</v>
      </c>
      <c r="R48" s="1162"/>
      <c r="S48" s="601"/>
      <c r="W48" s="33"/>
      <c r="X48" s="484" t="str">
        <f t="shared" si="88"/>
        <v/>
      </c>
      <c r="Y48" s="484" t="str">
        <f t="shared" si="89"/>
        <v/>
      </c>
      <c r="Z48" s="485" t="str">
        <f t="shared" si="90"/>
        <v/>
      </c>
      <c r="AA48" s="485" t="str">
        <f t="shared" si="91"/>
        <v/>
      </c>
      <c r="AB48" s="546">
        <f t="shared" si="92"/>
        <v>0</v>
      </c>
      <c r="AC48" s="546">
        <f t="shared" si="93"/>
        <v>0</v>
      </c>
      <c r="AD48" s="424">
        <f t="shared" si="53"/>
        <v>0</v>
      </c>
      <c r="AE48" s="547"/>
      <c r="AF48" s="33"/>
      <c r="AJ48">
        <v>4</v>
      </c>
      <c r="AK48">
        <f ca="1">IF(I44&gt;1,"",ROUNDUP(SUM($F$48-SUM($I$36:$I44))/AJ48,-2))</f>
        <v>5800</v>
      </c>
      <c r="AL48" s="24">
        <f ca="1">ROUND(SUM($F$48-SUM($I$36:$I43))/AJ48,0)</f>
        <v>5731</v>
      </c>
      <c r="AM48">
        <f t="shared" ca="1" si="109"/>
        <v>5500</v>
      </c>
      <c r="AN48">
        <f t="shared" ca="1" si="110"/>
        <v>6000</v>
      </c>
      <c r="AR48" s="725" t="str">
        <f>IF(SUM(AZ48:BB48)&gt;0,AT48,"")</f>
        <v/>
      </c>
      <c r="AT48" s="793" t="str">
        <f>K41</f>
        <v>Other DA Arrears 1</v>
      </c>
      <c r="AZ48" s="738">
        <f>IF(NOT($BD$42=1),0,M41)</f>
        <v>0</v>
      </c>
      <c r="BA48" s="738">
        <f>IF(NOT($BD$42=2),0,N41)</f>
        <v>0</v>
      </c>
      <c r="BB48" s="738">
        <f>IF(NOT($BD$42=2),0,O41)</f>
        <v>0</v>
      </c>
      <c r="BD48" s="726">
        <f>IF($BD$42=1,AZ48,BA48+BB48)</f>
        <v>0</v>
      </c>
      <c r="CN48">
        <v>45</v>
      </c>
      <c r="CP48" s="392">
        <v>69020</v>
      </c>
      <c r="CV48" t="str">
        <f t="shared" ref="CV48" si="112">TEXT(CW48,"mmm-yyyy")</f>
        <v>Nov-2028</v>
      </c>
      <c r="CW48" s="5">
        <f t="shared" si="43"/>
        <v>47058</v>
      </c>
      <c r="CX48" s="5">
        <f t="shared" ref="CX48" si="113">EOMONTH(CW48,0)</f>
        <v>47087</v>
      </c>
      <c r="CY48" s="4"/>
      <c r="DE48" s="1" t="str">
        <f t="shared" si="4"/>
        <v/>
      </c>
      <c r="DF48" s="4">
        <f t="shared" si="5"/>
        <v>47058</v>
      </c>
      <c r="DG48" t="str">
        <f t="shared" si="6"/>
        <v/>
      </c>
      <c r="DH48" s="4">
        <f t="shared" si="23"/>
        <v>47087</v>
      </c>
      <c r="DI48">
        <f>IFERROR(IF(AND($CS$3=2,DJ48="AGI",INDEX($DJ$4:$DJ$56,MATCH($DR$1,$DJ$4:DJ48,0),1)=$DR$1),2,0),0)</f>
        <v>0</v>
      </c>
      <c r="DJ48" s="1" t="str">
        <f t="shared" si="24"/>
        <v/>
      </c>
      <c r="DK48" s="5" t="str">
        <f t="shared" si="25"/>
        <v/>
      </c>
      <c r="DL48" s="222" t="str">
        <f t="shared" si="26"/>
        <v/>
      </c>
      <c r="DM48" s="225">
        <f t="shared" si="44"/>
        <v>0</v>
      </c>
      <c r="DN48" s="11">
        <f t="shared" si="106"/>
        <v>74770</v>
      </c>
      <c r="DO48" s="11" t="str">
        <f t="shared" si="95"/>
        <v/>
      </c>
      <c r="DP48" s="233">
        <f t="shared" si="45"/>
        <v>74770</v>
      </c>
      <c r="DQ48" s="229" t="str">
        <f t="shared" si="96"/>
        <v/>
      </c>
      <c r="DS48" s="1">
        <f t="shared" si="29"/>
        <v>0</v>
      </c>
      <c r="DT48" s="1">
        <f t="shared" si="107"/>
        <v>74770</v>
      </c>
      <c r="DV48" s="1" t="str">
        <f t="shared" si="97"/>
        <v/>
      </c>
      <c r="DW48" s="1" t="str">
        <f t="shared" si="31"/>
        <v/>
      </c>
      <c r="DX48" s="1" t="str">
        <f t="shared" si="32"/>
        <v/>
      </c>
      <c r="DY48" s="5" t="str">
        <f t="shared" si="46"/>
        <v/>
      </c>
      <c r="DZ48" s="5" t="str">
        <f t="shared" si="33"/>
        <v/>
      </c>
      <c r="EA48" s="1" t="str">
        <f t="shared" si="34"/>
        <v/>
      </c>
      <c r="EB48" s="404">
        <f t="shared" si="47"/>
        <v>0</v>
      </c>
      <c r="EC48" s="421" t="str">
        <f t="shared" si="35"/>
        <v/>
      </c>
      <c r="ED48">
        <f t="shared" si="36"/>
        <v>0</v>
      </c>
      <c r="EE48" s="18">
        <f t="shared" si="37"/>
        <v>0</v>
      </c>
      <c r="EF48" s="1" t="str">
        <f t="shared" si="98"/>
        <v/>
      </c>
      <c r="EG48" s="1" t="str">
        <f t="shared" si="99"/>
        <v/>
      </c>
      <c r="EH48" s="1" t="str">
        <f t="shared" si="38"/>
        <v/>
      </c>
      <c r="EI48" s="88"/>
      <c r="EJ48" t="str">
        <f t="shared" si="39"/>
        <v/>
      </c>
      <c r="EO48" s="301"/>
      <c r="EP48" s="1">
        <f t="shared" si="100"/>
        <v>0</v>
      </c>
      <c r="EQ48" s="1">
        <f t="shared" si="101"/>
        <v>0</v>
      </c>
      <c r="EU48" s="1">
        <f t="shared" si="102"/>
        <v>0</v>
      </c>
      <c r="EV48" s="1">
        <f t="shared" si="103"/>
        <v>0</v>
      </c>
      <c r="EZ48" s="1">
        <f t="shared" si="104"/>
        <v>0</v>
      </c>
      <c r="FA48" s="1">
        <f t="shared" si="105"/>
        <v>0</v>
      </c>
      <c r="FE48" s="8"/>
      <c r="FF48" s="8"/>
      <c r="FJ48" s="8"/>
      <c r="FK48" s="8"/>
      <c r="FY48" s="1"/>
      <c r="FZ48" s="1"/>
      <c r="GA48" s="1"/>
    </row>
    <row r="49" spans="1:183" ht="22.5" customHeight="1" thickTop="1" thickBot="1" x14ac:dyDescent="0.3">
      <c r="A49" s="1147" t="s">
        <v>463</v>
      </c>
      <c r="B49" s="1148"/>
      <c r="C49" s="1148"/>
      <c r="D49" s="1148"/>
      <c r="E49" s="1148"/>
      <c r="F49" s="1148"/>
      <c r="G49" s="1149"/>
      <c r="H49" s="1135" t="s">
        <v>1105</v>
      </c>
      <c r="I49" s="1136"/>
      <c r="J49" s="991" t="s">
        <v>1123</v>
      </c>
      <c r="K49" s="1139" t="str">
        <f ca="1">"You are Opted&gt;&gt;&gt;&gt; "&amp;ANNEXURE!$AH$37&amp;"
&gt;&gt;Check&gt;&gt;"&amp;IF(ANNEXURE!AT57&lt;ANNEXURE!AV57,"Tax in OLD SLAB Rs."&amp;ANNEXURE!AT57&amp;" is less Rs.("&amp;ANNEXURE!AV57-ANNEXURE!AT57&amp;") than compare to New slab Rs."&amp;ANNEXURE!AV57,"Tax in NEW SLAB Rs. "&amp;ANNEXURE!AV57&amp;" is less Rs.("&amp;ANNEXURE!AT57-ANNEXURE!AV57&amp;") than compare to OLD SLAB Tax Rs."&amp;ANNEXURE!AT57)</f>
        <v>You are Opted&gt;&gt;&gt;&gt; New Regime
&gt;&gt;Check&gt;&gt;Tax in NEW SLAB Rs. 22922 is less Rs.(121007) than compare to OLD SLAB Tax Rs.143929</v>
      </c>
      <c r="L49" s="1140"/>
      <c r="M49" s="1140"/>
      <c r="N49" s="1140"/>
      <c r="O49" s="1141"/>
      <c r="P49" s="625"/>
      <c r="Q49" s="1163"/>
      <c r="R49" s="1164"/>
      <c r="S49" s="601"/>
      <c r="W49" s="33"/>
      <c r="X49" s="484" t="str">
        <f t="shared" si="88"/>
        <v/>
      </c>
      <c r="Y49" s="484" t="str">
        <f t="shared" si="89"/>
        <v/>
      </c>
      <c r="Z49" s="485" t="str">
        <f t="shared" si="90"/>
        <v/>
      </c>
      <c r="AA49" s="485" t="str">
        <f t="shared" si="91"/>
        <v/>
      </c>
      <c r="AB49" s="546">
        <f t="shared" si="92"/>
        <v>0</v>
      </c>
      <c r="AC49" s="546">
        <f t="shared" si="93"/>
        <v>0</v>
      </c>
      <c r="AD49" s="424">
        <f t="shared" si="53"/>
        <v>0</v>
      </c>
      <c r="AE49" s="547"/>
      <c r="AF49" s="33"/>
      <c r="AJ49">
        <v>3</v>
      </c>
      <c r="AK49">
        <f ca="1">IF(I45&gt;1,"",ROUNDUP(SUM($F$48-SUM($I$36:$I45))/AJ49,-2))</f>
        <v>7700</v>
      </c>
      <c r="AL49" s="24">
        <f ca="1">ROUND(SUM($F$48-SUM($I$36:$I44))/AJ49,0)</f>
        <v>7641</v>
      </c>
      <c r="AM49">
        <f t="shared" ca="1" si="109"/>
        <v>7500</v>
      </c>
      <c r="AN49">
        <f t="shared" ca="1" si="110"/>
        <v>8000</v>
      </c>
      <c r="AR49" s="725" t="str">
        <f>IF(SUM(AZ49:BB49)&gt;0,AT49,"")</f>
        <v/>
      </c>
      <c r="AT49" s="793" t="str">
        <f>K42</f>
        <v>Other DA Arrears 2</v>
      </c>
      <c r="AZ49" s="738">
        <f>IF(NOT($BD$42=1),0,M42)</f>
        <v>0</v>
      </c>
      <c r="BA49" s="738">
        <f>IF(NOT($BD$42=2),0,N42)</f>
        <v>0</v>
      </c>
      <c r="BB49" s="738">
        <f>IF(NOT($BD$42=2),0,O42)</f>
        <v>0</v>
      </c>
      <c r="BD49" s="726">
        <f t="shared" si="111"/>
        <v>0</v>
      </c>
      <c r="CN49">
        <v>46</v>
      </c>
      <c r="CP49" s="392">
        <v>70850</v>
      </c>
      <c r="CT49" s="12"/>
      <c r="CV49" s="2" t="s">
        <v>29</v>
      </c>
      <c r="CW49" s="29" t="str">
        <f>IF(OR(O4="",O5="",O4="No",CM20&lt;CW4),"",CM20+0.001)</f>
        <v/>
      </c>
      <c r="CX49" s="29" t="str">
        <f>IFERROR(EOMONTH(CW49,0),"")</f>
        <v/>
      </c>
      <c r="CY49" s="11"/>
      <c r="DF49" s="16" t="str">
        <f>CW49</f>
        <v/>
      </c>
      <c r="DG49" s="17" t="str">
        <f>IF(DF49="","",CV49)</f>
        <v/>
      </c>
      <c r="DH49" s="16" t="str">
        <f t="shared" si="23"/>
        <v/>
      </c>
      <c r="DI49">
        <f>IFERROR(IF(AND($CS$3=2,DJ49="AGI",INDEX($DJ$4:$DJ$56,MATCH($DR$1,$DJ$4:DJ49,0),1)=$DR$1),2,0),0)</f>
        <v>0</v>
      </c>
      <c r="DJ49" s="1" t="str">
        <f t="shared" si="24"/>
        <v/>
      </c>
      <c r="DK49" s="5" t="str">
        <f t="shared" si="25"/>
        <v/>
      </c>
      <c r="DL49" s="222" t="str">
        <f t="shared" si="26"/>
        <v/>
      </c>
      <c r="DM49" s="225">
        <f t="shared" si="44"/>
        <v>0</v>
      </c>
      <c r="DN49" s="11">
        <f t="shared" si="106"/>
        <v>74770</v>
      </c>
      <c r="DO49" s="11" t="str">
        <f t="shared" si="95"/>
        <v/>
      </c>
      <c r="DP49" s="233">
        <f t="shared" si="45"/>
        <v>74770</v>
      </c>
      <c r="DQ49" s="229" t="str">
        <f t="shared" si="96"/>
        <v/>
      </c>
      <c r="DS49" s="1">
        <f t="shared" si="29"/>
        <v>0</v>
      </c>
      <c r="DT49" s="1">
        <f t="shared" si="107"/>
        <v>74770</v>
      </c>
      <c r="DV49" s="1" t="str">
        <f t="shared" si="97"/>
        <v/>
      </c>
      <c r="DW49" s="1" t="str">
        <f t="shared" si="31"/>
        <v/>
      </c>
      <c r="DX49" s="1" t="str">
        <f t="shared" si="32"/>
        <v/>
      </c>
      <c r="DY49" s="5" t="str">
        <f t="shared" si="46"/>
        <v/>
      </c>
      <c r="DZ49" s="5" t="str">
        <f t="shared" si="33"/>
        <v/>
      </c>
      <c r="EA49" s="1" t="str">
        <f t="shared" si="34"/>
        <v/>
      </c>
      <c r="EB49" s="404">
        <f t="shared" si="47"/>
        <v>0</v>
      </c>
      <c r="EC49" s="421" t="str">
        <f t="shared" si="35"/>
        <v/>
      </c>
      <c r="ED49">
        <f t="shared" si="36"/>
        <v>0</v>
      </c>
      <c r="EE49" s="18">
        <f t="shared" si="37"/>
        <v>0</v>
      </c>
      <c r="EF49" s="1" t="str">
        <f t="shared" si="98"/>
        <v/>
      </c>
      <c r="EG49" s="1" t="str">
        <f t="shared" si="99"/>
        <v/>
      </c>
      <c r="EH49" s="1" t="str">
        <f t="shared" si="38"/>
        <v/>
      </c>
      <c r="EI49" s="88"/>
      <c r="EJ49" t="str">
        <f t="shared" si="39"/>
        <v/>
      </c>
      <c r="EO49" s="301"/>
      <c r="EP49" s="1">
        <f t="shared" si="100"/>
        <v>0</v>
      </c>
      <c r="EQ49" s="1">
        <f t="shared" si="101"/>
        <v>0</v>
      </c>
      <c r="EU49" s="1">
        <f t="shared" si="102"/>
        <v>0</v>
      </c>
      <c r="EV49" s="1">
        <f t="shared" si="103"/>
        <v>0</v>
      </c>
      <c r="EZ49" s="1">
        <f t="shared" si="104"/>
        <v>0</v>
      </c>
      <c r="FA49" s="1">
        <f t="shared" si="105"/>
        <v>0</v>
      </c>
      <c r="FE49" s="8"/>
      <c r="FF49" s="8"/>
      <c r="FJ49" s="8"/>
      <c r="FK49" s="8"/>
      <c r="FY49" s="1"/>
      <c r="FZ49" s="1"/>
      <c r="GA49" s="1"/>
    </row>
    <row r="50" spans="1:183" ht="21.6" customHeight="1" thickTop="1" thickBot="1" x14ac:dyDescent="0.3">
      <c r="A50" s="1007" t="s">
        <v>1128</v>
      </c>
      <c r="B50" s="636"/>
      <c r="C50" s="636"/>
      <c r="D50" s="636"/>
      <c r="E50" s="636"/>
      <c r="F50" s="636"/>
      <c r="G50" s="636"/>
      <c r="H50" s="636"/>
      <c r="I50" s="637"/>
      <c r="J50" s="33"/>
      <c r="K50" s="1142"/>
      <c r="L50" s="1143"/>
      <c r="M50" s="1143"/>
      <c r="N50" s="1143"/>
      <c r="O50" s="1144"/>
      <c r="P50" s="625"/>
      <c r="Q50" s="1137" t="s">
        <v>750</v>
      </c>
      <c r="R50" s="1138"/>
      <c r="S50" s="601"/>
      <c r="W50" s="33"/>
      <c r="X50" s="484" t="str">
        <f t="shared" si="88"/>
        <v/>
      </c>
      <c r="Y50" s="484" t="str">
        <f t="shared" si="89"/>
        <v/>
      </c>
      <c r="Z50" s="485" t="str">
        <f t="shared" si="90"/>
        <v/>
      </c>
      <c r="AA50" s="485" t="str">
        <f t="shared" si="91"/>
        <v/>
      </c>
      <c r="AB50" s="546">
        <f t="shared" si="92"/>
        <v>0</v>
      </c>
      <c r="AC50" s="546">
        <f t="shared" si="93"/>
        <v>0</v>
      </c>
      <c r="AD50" s="424">
        <f t="shared" si="53"/>
        <v>0</v>
      </c>
      <c r="AE50" s="547"/>
      <c r="AF50" s="33"/>
      <c r="AJ50">
        <v>2</v>
      </c>
      <c r="AK50">
        <f ca="1">IF(I46&gt;1,"",ROUNDUP(SUM($F$48-SUM($I$36:$I46))/AJ50,-2))</f>
        <v>11500</v>
      </c>
      <c r="AL50" s="24">
        <f ca="1">ROUND(SUM($F$48-SUM($I$36:$I45))/AJ50,0)</f>
        <v>11461</v>
      </c>
      <c r="AM50">
        <f t="shared" ca="1" si="109"/>
        <v>11500</v>
      </c>
      <c r="AN50">
        <f t="shared" ca="1" si="110"/>
        <v>11000</v>
      </c>
      <c r="CN50">
        <v>47</v>
      </c>
      <c r="CP50" s="392">
        <v>72810</v>
      </c>
      <c r="CT50" s="12"/>
      <c r="CV50" s="2" t="s">
        <v>30</v>
      </c>
      <c r="CW50" s="29" t="str">
        <f>IF(OR(O8="",O9="",O8="No",CM22&lt;CW4),"",CM22+0.002)</f>
        <v/>
      </c>
      <c r="CX50" s="29" t="str">
        <f>IFERROR(EOMONTH(CW50,0),"")</f>
        <v/>
      </c>
      <c r="CY50" s="11"/>
      <c r="DF50" s="16" t="str">
        <f>CW50</f>
        <v/>
      </c>
      <c r="DG50" s="17" t="str">
        <f>IF(DF50="","",CV50)</f>
        <v/>
      </c>
      <c r="DH50" s="16" t="str">
        <f t="shared" si="23"/>
        <v/>
      </c>
      <c r="DI50">
        <f>IFERROR(IF(AND($CS$3=2,DJ50="AGI",INDEX($DJ$4:$DJ$56,MATCH($DR$1,$DJ$4:DJ50,0),1)=$DR$1),2,0),0)</f>
        <v>0</v>
      </c>
      <c r="DJ50" s="1" t="str">
        <f t="shared" si="24"/>
        <v/>
      </c>
      <c r="DK50" s="5" t="str">
        <f t="shared" si="25"/>
        <v/>
      </c>
      <c r="DL50" s="222" t="str">
        <f t="shared" si="26"/>
        <v/>
      </c>
      <c r="DM50" s="225">
        <f t="shared" si="44"/>
        <v>0</v>
      </c>
      <c r="DN50" s="11">
        <f t="shared" si="106"/>
        <v>74770</v>
      </c>
      <c r="DO50" s="11" t="str">
        <f t="shared" si="95"/>
        <v/>
      </c>
      <c r="DP50" s="233">
        <f t="shared" si="45"/>
        <v>74770</v>
      </c>
      <c r="DQ50" s="229" t="str">
        <f t="shared" si="96"/>
        <v/>
      </c>
      <c r="DS50" s="1">
        <f t="shared" si="29"/>
        <v>0</v>
      </c>
      <c r="DT50" s="1">
        <f t="shared" si="107"/>
        <v>74770</v>
      </c>
      <c r="DV50" s="1" t="str">
        <f t="shared" si="97"/>
        <v/>
      </c>
      <c r="DW50" s="1" t="str">
        <f t="shared" si="31"/>
        <v/>
      </c>
      <c r="DX50" s="1" t="str">
        <f t="shared" si="32"/>
        <v/>
      </c>
      <c r="DY50" s="5" t="str">
        <f t="shared" si="46"/>
        <v/>
      </c>
      <c r="DZ50" s="5" t="str">
        <f t="shared" si="33"/>
        <v/>
      </c>
      <c r="EA50" s="1" t="str">
        <f t="shared" si="34"/>
        <v/>
      </c>
      <c r="EB50" s="404">
        <f t="shared" si="47"/>
        <v>0</v>
      </c>
      <c r="EC50" s="421" t="str">
        <f t="shared" si="35"/>
        <v/>
      </c>
      <c r="ED50">
        <f t="shared" si="36"/>
        <v>0</v>
      </c>
      <c r="EE50" s="18">
        <f t="shared" si="37"/>
        <v>0</v>
      </c>
      <c r="EF50" s="1" t="str">
        <f t="shared" si="98"/>
        <v/>
      </c>
      <c r="EG50" s="1" t="str">
        <f t="shared" si="99"/>
        <v/>
      </c>
      <c r="EH50" s="1" t="str">
        <f t="shared" si="38"/>
        <v/>
      </c>
      <c r="EI50" s="88"/>
      <c r="EJ50" t="str">
        <f t="shared" si="39"/>
        <v/>
      </c>
      <c r="EO50" s="301"/>
      <c r="EP50" s="1">
        <f t="shared" si="100"/>
        <v>0</v>
      </c>
      <c r="EQ50" s="1">
        <f t="shared" si="101"/>
        <v>0</v>
      </c>
      <c r="EU50" s="1">
        <f t="shared" si="102"/>
        <v>0</v>
      </c>
      <c r="EV50" s="1">
        <f t="shared" si="103"/>
        <v>0</v>
      </c>
      <c r="EZ50" s="1">
        <f t="shared" si="104"/>
        <v>0</v>
      </c>
      <c r="FA50" s="1">
        <f t="shared" si="105"/>
        <v>0</v>
      </c>
      <c r="FE50" s="8"/>
      <c r="FF50" s="8"/>
      <c r="FJ50" s="8"/>
      <c r="FK50" s="8"/>
      <c r="FY50" s="1"/>
      <c r="FZ50" s="1"/>
      <c r="GA50" s="1"/>
    </row>
    <row r="51" spans="1:183" ht="28.15" customHeight="1" thickTop="1" x14ac:dyDescent="0.25">
      <c r="A51" s="1134" t="s">
        <v>749</v>
      </c>
      <c r="B51" s="1134"/>
      <c r="C51" s="534" t="s">
        <v>549</v>
      </c>
      <c r="D51" s="385"/>
      <c r="E51" s="385"/>
      <c r="F51" s="385"/>
      <c r="G51" s="385"/>
      <c r="H51" s="385"/>
      <c r="I51" s="385"/>
      <c r="J51" s="598"/>
      <c r="K51" s="958"/>
      <c r="L51" s="546"/>
      <c r="M51" s="958"/>
      <c r="N51" s="958"/>
      <c r="O51" s="591"/>
      <c r="P51" s="625"/>
      <c r="Q51" s="1137"/>
      <c r="R51" s="1138"/>
      <c r="S51" s="601"/>
      <c r="W51" s="33"/>
      <c r="X51" s="484" t="str">
        <f t="shared" si="88"/>
        <v/>
      </c>
      <c r="Y51" s="484" t="str">
        <f t="shared" si="89"/>
        <v/>
      </c>
      <c r="Z51" s="485" t="str">
        <f t="shared" si="90"/>
        <v/>
      </c>
      <c r="AA51" s="485" t="str">
        <f t="shared" si="91"/>
        <v/>
      </c>
      <c r="AB51" s="546">
        <f t="shared" si="92"/>
        <v>0</v>
      </c>
      <c r="AC51" s="546">
        <f t="shared" si="93"/>
        <v>0</v>
      </c>
      <c r="AD51" s="424">
        <f t="shared" si="53"/>
        <v>0</v>
      </c>
      <c r="AE51" s="547"/>
      <c r="AF51" s="33"/>
      <c r="AL51" s="24"/>
      <c r="CN51">
        <v>48</v>
      </c>
      <c r="CP51" s="392">
        <v>74770</v>
      </c>
      <c r="CT51" s="12"/>
      <c r="CV51" s="2" t="s">
        <v>602</v>
      </c>
      <c r="CW51" s="29">
        <f>IF(OR($CM$26&gt;CX48,$CM$26&lt;$CW$4),"",IF(N13="",$CM$26,$CM$27+0.0001))</f>
        <v>45717</v>
      </c>
      <c r="CX51" s="29">
        <f>IFERROR(EOMONTH(CW51,0),"")</f>
        <v>45747</v>
      </c>
      <c r="DE51" s="418" t="str">
        <f>IFERROR(IF($N$13="","",DATE(YEAR(CW51),MONTH(CW51),1)),"")</f>
        <v/>
      </c>
      <c r="DF51" s="219"/>
      <c r="DG51" s="787" t="str">
        <f>IFERROR(IF(DE51="","",IF(MATCH($DE$51,$BY$4:$BY$18,0)&gt;=1,"AGI &amp; HRA-1","HRA-1")),"")</f>
        <v/>
      </c>
      <c r="DH51" s="219" t="str">
        <f>IFERROR(IF(DF52="",EOMONTH(DE51,0),IF(AND(MONTH(DE51)=MONTH(DF52),YEAR(DE51)=YEAR(DF52)),DF52-1,EOMONTH(DE51,0))),"")</f>
        <v/>
      </c>
      <c r="DI51">
        <f>IFERROR(IF(AND($CS$3=2,DJ51="AGI",INDEX($DJ$4:$DJ$56,MATCH($DR$1,$DJ$4:DJ51,0),1)=$DR$1),2,0),0)</f>
        <v>0</v>
      </c>
      <c r="DJ51" s="1" t="str">
        <f t="shared" si="24"/>
        <v/>
      </c>
      <c r="DK51" s="5" t="str">
        <f t="shared" si="25"/>
        <v/>
      </c>
      <c r="DL51" s="222" t="str">
        <f t="shared" si="26"/>
        <v/>
      </c>
      <c r="DM51" s="225">
        <f t="shared" si="44"/>
        <v>0</v>
      </c>
      <c r="DN51" s="11">
        <f t="shared" si="106"/>
        <v>74770</v>
      </c>
      <c r="DO51" s="11" t="str">
        <f t="shared" si="95"/>
        <v/>
      </c>
      <c r="DP51" s="233">
        <f t="shared" si="45"/>
        <v>74770</v>
      </c>
      <c r="DQ51" s="229" t="str">
        <f t="shared" si="96"/>
        <v/>
      </c>
      <c r="DS51" s="1">
        <f t="shared" si="29"/>
        <v>0</v>
      </c>
      <c r="DT51" s="1">
        <f t="shared" si="107"/>
        <v>74770</v>
      </c>
      <c r="DV51" s="1" t="str">
        <f t="shared" si="97"/>
        <v/>
      </c>
      <c r="DW51" s="1" t="str">
        <f t="shared" si="31"/>
        <v/>
      </c>
      <c r="DX51" s="1" t="str">
        <f t="shared" si="32"/>
        <v/>
      </c>
      <c r="DY51" s="5" t="str">
        <f t="shared" si="46"/>
        <v/>
      </c>
      <c r="DZ51" s="5" t="str">
        <f t="shared" si="33"/>
        <v/>
      </c>
      <c r="EA51" s="1" t="str">
        <f t="shared" si="34"/>
        <v/>
      </c>
      <c r="EB51" s="404">
        <f t="shared" si="47"/>
        <v>0</v>
      </c>
      <c r="EC51" s="421" t="str">
        <f t="shared" si="35"/>
        <v/>
      </c>
      <c r="ED51">
        <f t="shared" si="36"/>
        <v>0</v>
      </c>
      <c r="EE51" s="18">
        <f t="shared" si="37"/>
        <v>0</v>
      </c>
      <c r="EF51" s="1" t="str">
        <f t="shared" si="98"/>
        <v/>
      </c>
      <c r="EG51" s="1" t="str">
        <f t="shared" si="99"/>
        <v/>
      </c>
      <c r="EH51" s="1" t="str">
        <f t="shared" si="38"/>
        <v/>
      </c>
      <c r="EI51" s="88"/>
      <c r="EJ51" t="str">
        <f t="shared" si="39"/>
        <v/>
      </c>
      <c r="EO51" s="301"/>
      <c r="EP51" s="1">
        <f t="shared" si="100"/>
        <v>0</v>
      </c>
      <c r="EQ51" s="1">
        <f t="shared" si="101"/>
        <v>0</v>
      </c>
      <c r="EU51" s="1">
        <f t="shared" si="102"/>
        <v>0</v>
      </c>
      <c r="EV51" s="1">
        <f t="shared" si="103"/>
        <v>0</v>
      </c>
      <c r="EZ51" s="1">
        <f t="shared" si="104"/>
        <v>0</v>
      </c>
      <c r="FA51" s="1">
        <f t="shared" si="105"/>
        <v>0</v>
      </c>
      <c r="FE51" s="8"/>
      <c r="FF51" s="8"/>
      <c r="FJ51" s="8"/>
      <c r="FK51" s="8"/>
    </row>
    <row r="52" spans="1:183" ht="20.65" customHeight="1" x14ac:dyDescent="0.25">
      <c r="A52" s="1131" t="s">
        <v>756</v>
      </c>
      <c r="B52" s="1131"/>
      <c r="C52" s="534" t="s">
        <v>1121</v>
      </c>
      <c r="D52" s="385"/>
      <c r="E52" s="385"/>
      <c r="F52" s="385"/>
      <c r="G52" s="385"/>
      <c r="H52" s="385"/>
      <c r="I52" s="385"/>
      <c r="J52" s="598"/>
      <c r="K52" s="958"/>
      <c r="L52" s="958"/>
      <c r="M52" s="958"/>
      <c r="N52" s="958"/>
      <c r="O52" s="591"/>
      <c r="P52" s="625"/>
      <c r="Q52" s="1137" t="s">
        <v>750</v>
      </c>
      <c r="R52" s="1138"/>
      <c r="S52" s="601"/>
      <c r="W52" s="33"/>
      <c r="X52" s="484" t="str">
        <f t="shared" si="88"/>
        <v/>
      </c>
      <c r="Y52" s="484" t="str">
        <f t="shared" si="89"/>
        <v/>
      </c>
      <c r="Z52" s="485" t="str">
        <f t="shared" si="90"/>
        <v/>
      </c>
      <c r="AA52" s="485" t="str">
        <f t="shared" si="91"/>
        <v/>
      </c>
      <c r="AB52" s="546">
        <f t="shared" si="92"/>
        <v>0</v>
      </c>
      <c r="AC52" s="546">
        <f t="shared" si="93"/>
        <v>0</v>
      </c>
      <c r="AD52" s="424">
        <f t="shared" si="53"/>
        <v>0</v>
      </c>
      <c r="AE52" s="547"/>
      <c r="AF52" s="33"/>
      <c r="CN52">
        <v>49</v>
      </c>
      <c r="CP52" s="392">
        <v>76730</v>
      </c>
      <c r="CT52" s="12"/>
      <c r="CV52" s="2" t="s">
        <v>619</v>
      </c>
      <c r="CW52" s="29">
        <f>IF(OR($CM$26&gt;$CX$48,$CM$26&lt;$CW$4),"",IF(O13="",$CM$26,$CM$28+0.0001))</f>
        <v>45717</v>
      </c>
      <c r="CX52" s="29">
        <f>IFERROR(EOMONTH(CW52,0),"")</f>
        <v>45747</v>
      </c>
      <c r="DF52" s="219" t="str">
        <f>IFERROR(IF(DAY(CW51)=1,"",CW51),"")</f>
        <v/>
      </c>
      <c r="DG52" s="787" t="str">
        <f>IF(DF52="","",CV51)</f>
        <v/>
      </c>
      <c r="DH52" s="219" t="str">
        <f>IFERROR(IF(DF54="",EOMONTH(DF52,0),IF(AND(MONTH(DF52)=MONTH(DF54),YEAR(DF52)=YEAR(DF54)),DF54-1,EOMONTH(DF52,0))),"")</f>
        <v/>
      </c>
      <c r="DI52">
        <f>IFERROR(IF(AND($CS$3=2,DJ52="AGI",INDEX($DJ$4:$DJ$56,MATCH($DR$1,$DJ$4:DJ52,0),1)=$DR$1),2,0),0)</f>
        <v>0</v>
      </c>
      <c r="DJ52" s="1" t="str">
        <f t="shared" si="24"/>
        <v/>
      </c>
      <c r="DK52" s="5" t="str">
        <f t="shared" si="25"/>
        <v/>
      </c>
      <c r="DL52" s="222" t="str">
        <f t="shared" si="26"/>
        <v/>
      </c>
      <c r="DM52" s="225">
        <f t="shared" si="44"/>
        <v>0</v>
      </c>
      <c r="DN52" s="11">
        <f t="shared" si="106"/>
        <v>74770</v>
      </c>
      <c r="DO52" s="11" t="str">
        <f t="shared" si="95"/>
        <v/>
      </c>
      <c r="DP52" s="233">
        <f t="shared" si="45"/>
        <v>74770</v>
      </c>
      <c r="DQ52" s="229" t="str">
        <f t="shared" si="96"/>
        <v/>
      </c>
      <c r="DS52" s="1">
        <f t="shared" si="29"/>
        <v>0</v>
      </c>
      <c r="DT52" s="1">
        <f t="shared" si="107"/>
        <v>74770</v>
      </c>
      <c r="DV52" s="1" t="str">
        <f t="shared" si="97"/>
        <v/>
      </c>
      <c r="DW52" s="1" t="str">
        <f t="shared" si="31"/>
        <v/>
      </c>
      <c r="DX52" s="1" t="str">
        <f t="shared" si="32"/>
        <v/>
      </c>
      <c r="DY52" s="5" t="str">
        <f t="shared" si="46"/>
        <v/>
      </c>
      <c r="DZ52" s="5" t="str">
        <f t="shared" si="33"/>
        <v/>
      </c>
      <c r="EA52" s="1" t="str">
        <f t="shared" si="34"/>
        <v/>
      </c>
      <c r="EB52" s="404">
        <f t="shared" si="47"/>
        <v>0</v>
      </c>
      <c r="EC52" s="421" t="str">
        <f t="shared" si="35"/>
        <v/>
      </c>
      <c r="ED52">
        <f t="shared" si="36"/>
        <v>0</v>
      </c>
      <c r="EE52" s="18">
        <f t="shared" si="37"/>
        <v>0</v>
      </c>
      <c r="EF52" s="1" t="str">
        <f t="shared" si="98"/>
        <v/>
      </c>
      <c r="EG52" s="1" t="str">
        <f t="shared" si="99"/>
        <v/>
      </c>
      <c r="EH52" s="1" t="str">
        <f t="shared" si="38"/>
        <v/>
      </c>
      <c r="EI52" s="88"/>
      <c r="EJ52" t="str">
        <f t="shared" si="39"/>
        <v/>
      </c>
      <c r="EO52" s="301"/>
      <c r="EP52" s="1">
        <f t="shared" si="100"/>
        <v>0</v>
      </c>
      <c r="EQ52" s="1">
        <f t="shared" si="101"/>
        <v>0</v>
      </c>
      <c r="EU52" s="1">
        <f t="shared" si="102"/>
        <v>0</v>
      </c>
      <c r="EV52" s="1">
        <f t="shared" si="103"/>
        <v>0</v>
      </c>
      <c r="EZ52" s="1">
        <f t="shared" si="104"/>
        <v>0</v>
      </c>
      <c r="FA52" s="1">
        <f t="shared" si="105"/>
        <v>0</v>
      </c>
      <c r="FE52" s="8"/>
      <c r="FF52" s="8"/>
      <c r="FJ52" s="8"/>
      <c r="FK52" s="8"/>
    </row>
    <row r="53" spans="1:183" ht="16.899999999999999" customHeight="1" x14ac:dyDescent="0.25">
      <c r="A53" s="1131"/>
      <c r="B53" s="1131"/>
      <c r="C53" s="535" t="str">
        <f t="shared" ref="C53:G53" si="114">IFERROR(INDEX($DX$4:$DX$55,MATCH(C52,$DW$4:$DW$55,0),1),"")</f>
        <v>31-03-2025</v>
      </c>
      <c r="D53" s="462" t="str">
        <f t="shared" si="114"/>
        <v/>
      </c>
      <c r="E53" s="462" t="str">
        <f t="shared" si="114"/>
        <v/>
      </c>
      <c r="F53" s="462" t="str">
        <f t="shared" si="114"/>
        <v/>
      </c>
      <c r="G53" s="462" t="str">
        <f t="shared" si="114"/>
        <v/>
      </c>
      <c r="H53" s="462" t="str">
        <f t="shared" ref="H53:O53" si="115">IFERROR(INDEX($DX$4:$DX$55,MATCH(H52,$DW$4:$DW$55,0),1),"")</f>
        <v/>
      </c>
      <c r="I53" s="462" t="str">
        <f t="shared" si="115"/>
        <v/>
      </c>
      <c r="J53" s="599" t="str">
        <f t="shared" si="115"/>
        <v/>
      </c>
      <c r="K53" s="462" t="str">
        <f t="shared" si="115"/>
        <v/>
      </c>
      <c r="L53" s="463" t="str">
        <f t="shared" si="115"/>
        <v/>
      </c>
      <c r="M53" s="462" t="str">
        <f t="shared" si="115"/>
        <v/>
      </c>
      <c r="N53" s="462" t="str">
        <f t="shared" si="115"/>
        <v/>
      </c>
      <c r="O53" s="609" t="str">
        <f t="shared" si="115"/>
        <v/>
      </c>
      <c r="P53" s="625"/>
      <c r="Q53" s="1137"/>
      <c r="R53" s="1138"/>
      <c r="S53" s="601"/>
      <c r="W53" s="33"/>
      <c r="X53" s="484" t="str">
        <f t="shared" si="88"/>
        <v/>
      </c>
      <c r="Y53" s="484" t="str">
        <f t="shared" si="89"/>
        <v/>
      </c>
      <c r="Z53" s="485" t="str">
        <f t="shared" si="90"/>
        <v/>
      </c>
      <c r="AA53" s="485" t="str">
        <f t="shared" si="91"/>
        <v/>
      </c>
      <c r="AB53" s="546">
        <f t="shared" si="92"/>
        <v>0</v>
      </c>
      <c r="AC53" s="546">
        <f t="shared" si="93"/>
        <v>0</v>
      </c>
      <c r="AD53" s="424">
        <f t="shared" si="53"/>
        <v>0</v>
      </c>
      <c r="AE53" s="547"/>
      <c r="AF53" s="33"/>
      <c r="CN53">
        <v>50</v>
      </c>
      <c r="CP53" s="392">
        <v>78820</v>
      </c>
      <c r="CT53" s="12"/>
      <c r="CV53" s="30" t="s">
        <v>25</v>
      </c>
      <c r="CW53" s="417">
        <f>IF(CW54="","",EDATE(CW54,-12))</f>
        <v>45047</v>
      </c>
      <c r="CX53" s="13"/>
      <c r="CY53" s="4"/>
      <c r="DE53" s="418" t="str">
        <f>IFERROR(IF(O13="","",DATE(YEAR(CW52),MONTH(CW52),1)),"")</f>
        <v/>
      </c>
      <c r="DF53" s="219"/>
      <c r="DG53" s="787" t="str">
        <f>IF(DE53="","",IFERROR(IF(MATCH($DE$53,$BY$4:$BY$18,0)&gt;=1,"AGI &amp; HRA-3","HRA-3"),"HRA-3"))</f>
        <v/>
      </c>
      <c r="DH53" s="418" t="str">
        <f>IFERROR(IF(DF54="",EOMONTH(DE53,0),IF(AND(MONTH(DE53)=MONTH(DF54),YEAR(DE53)=YEAR(DF54)),DF54-1,EOMONTH(DE53,0))),"")</f>
        <v/>
      </c>
      <c r="DI53">
        <f>IFERROR(IF(AND($CS$3=2,DJ53="AGI",INDEX($DJ$4:$DJ$56,MATCH($DR$1,$DJ$4:DJ53,0),1)=$DR$1),2,0),0)</f>
        <v>0</v>
      </c>
      <c r="DJ53" s="1" t="str">
        <f t="shared" si="24"/>
        <v/>
      </c>
      <c r="DK53" s="5" t="str">
        <f t="shared" si="25"/>
        <v/>
      </c>
      <c r="DL53" s="222" t="str">
        <f t="shared" si="26"/>
        <v/>
      </c>
      <c r="DM53" s="225">
        <f t="shared" si="44"/>
        <v>0</v>
      </c>
      <c r="DN53" s="11">
        <f t="shared" si="106"/>
        <v>74770</v>
      </c>
      <c r="DO53" s="11" t="str">
        <f t="shared" si="95"/>
        <v/>
      </c>
      <c r="DP53" s="233">
        <f t="shared" si="45"/>
        <v>74770</v>
      </c>
      <c r="DQ53" s="229" t="str">
        <f t="shared" si="96"/>
        <v/>
      </c>
      <c r="DS53" s="1">
        <f t="shared" si="29"/>
        <v>0</v>
      </c>
      <c r="DT53" s="1">
        <f t="shared" si="107"/>
        <v>74770</v>
      </c>
      <c r="DV53" s="1" t="str">
        <f t="shared" si="97"/>
        <v/>
      </c>
      <c r="DW53" s="1" t="str">
        <f t="shared" si="31"/>
        <v/>
      </c>
      <c r="DX53" s="1" t="str">
        <f t="shared" si="32"/>
        <v/>
      </c>
      <c r="DY53" s="5" t="str">
        <f t="shared" si="46"/>
        <v/>
      </c>
      <c r="DZ53" s="5" t="str">
        <f t="shared" si="33"/>
        <v/>
      </c>
      <c r="EA53" s="1" t="str">
        <f t="shared" si="34"/>
        <v/>
      </c>
      <c r="EB53" s="404">
        <f t="shared" si="47"/>
        <v>0</v>
      </c>
      <c r="EC53" s="421" t="str">
        <f t="shared" si="35"/>
        <v/>
      </c>
      <c r="ED53">
        <f t="shared" si="36"/>
        <v>0</v>
      </c>
      <c r="EE53" s="18">
        <f t="shared" si="37"/>
        <v>0</v>
      </c>
      <c r="EF53" s="1" t="str">
        <f t="shared" si="98"/>
        <v/>
      </c>
      <c r="EG53" s="1" t="str">
        <f t="shared" si="99"/>
        <v/>
      </c>
      <c r="EH53" s="1" t="str">
        <f t="shared" si="38"/>
        <v/>
      </c>
      <c r="EI53" s="88"/>
      <c r="EJ53" t="str">
        <f t="shared" si="39"/>
        <v/>
      </c>
      <c r="EO53" s="301"/>
      <c r="EP53" s="1">
        <f t="shared" si="100"/>
        <v>0</v>
      </c>
      <c r="EQ53" s="1">
        <f t="shared" si="101"/>
        <v>0</v>
      </c>
      <c r="EU53" s="1">
        <f t="shared" si="102"/>
        <v>0</v>
      </c>
      <c r="EV53" s="1">
        <f t="shared" si="103"/>
        <v>0</v>
      </c>
      <c r="EZ53" s="1">
        <f t="shared" si="104"/>
        <v>0</v>
      </c>
      <c r="FA53" s="1">
        <f t="shared" si="105"/>
        <v>0</v>
      </c>
      <c r="FE53" s="8"/>
      <c r="FF53" s="8"/>
      <c r="FJ53" s="8"/>
      <c r="FK53" s="8"/>
    </row>
    <row r="54" spans="1:183" ht="22.9" customHeight="1" x14ac:dyDescent="0.25">
      <c r="A54" s="1130" t="s">
        <v>757</v>
      </c>
      <c r="B54" s="1130"/>
      <c r="C54" s="536"/>
      <c r="D54" s="383"/>
      <c r="E54" s="383"/>
      <c r="F54" s="383"/>
      <c r="G54" s="383"/>
      <c r="H54" s="383"/>
      <c r="I54" s="383"/>
      <c r="J54" s="600"/>
      <c r="K54" s="959"/>
      <c r="L54" s="960"/>
      <c r="M54" s="959"/>
      <c r="N54" s="959"/>
      <c r="O54" s="610"/>
      <c r="P54" s="625"/>
      <c r="Q54" s="1137"/>
      <c r="R54" s="1138"/>
      <c r="S54" s="601"/>
      <c r="W54" s="33"/>
      <c r="X54" s="484" t="str">
        <f t="shared" si="88"/>
        <v/>
      </c>
      <c r="Y54" s="484" t="str">
        <f t="shared" si="89"/>
        <v/>
      </c>
      <c r="Z54" s="485" t="str">
        <f t="shared" si="90"/>
        <v/>
      </c>
      <c r="AA54" s="485" t="str">
        <f t="shared" si="91"/>
        <v/>
      </c>
      <c r="AB54" s="546">
        <f t="shared" si="92"/>
        <v>0</v>
      </c>
      <c r="AC54" s="546">
        <f t="shared" si="93"/>
        <v>0</v>
      </c>
      <c r="AD54" s="424">
        <f t="shared" si="53"/>
        <v>0</v>
      </c>
      <c r="AE54" s="547"/>
      <c r="AF54" s="33"/>
      <c r="CN54">
        <v>51</v>
      </c>
      <c r="CP54" s="392">
        <v>80910</v>
      </c>
      <c r="CQ54" s="6"/>
      <c r="CV54" s="30" t="s">
        <v>26</v>
      </c>
      <c r="CW54" s="31">
        <f>IF(CW55="","",EDATE(CW55,-12))</f>
        <v>45413</v>
      </c>
      <c r="CX54" s="13"/>
      <c r="CY54" s="4"/>
      <c r="DF54" s="219" t="str">
        <f>IFERROR(IF(DAY(CW52)=1,"",CW52),"")</f>
        <v/>
      </c>
      <c r="DG54" s="787" t="str">
        <f>IF(DF54="","",$CV$52)</f>
        <v/>
      </c>
      <c r="DH54" s="219" t="str">
        <f>IFERROR(EOMONTH(DF54,0),"")</f>
        <v/>
      </c>
      <c r="DI54">
        <f>IFERROR(IF(AND($CS$3=2,DJ54="AGI",INDEX($DJ$4:$DJ$56,MATCH($DR$1,$DJ$4:DJ54,0),1)=$DR$1),2,0),0)</f>
        <v>0</v>
      </c>
      <c r="DJ54" s="1" t="str">
        <f t="shared" si="24"/>
        <v/>
      </c>
      <c r="DK54" s="5" t="str">
        <f t="shared" si="25"/>
        <v/>
      </c>
      <c r="DL54" s="222" t="str">
        <f t="shared" si="26"/>
        <v/>
      </c>
      <c r="DM54" s="225">
        <f t="shared" si="44"/>
        <v>0</v>
      </c>
      <c r="DN54" s="11">
        <f t="shared" si="106"/>
        <v>74770</v>
      </c>
      <c r="DO54" s="11" t="str">
        <f t="shared" si="95"/>
        <v/>
      </c>
      <c r="DP54" s="233">
        <f t="shared" si="45"/>
        <v>74770</v>
      </c>
      <c r="DQ54" s="229" t="str">
        <f t="shared" si="96"/>
        <v/>
      </c>
      <c r="DS54" s="1">
        <f t="shared" si="29"/>
        <v>0</v>
      </c>
      <c r="DT54" s="1">
        <f t="shared" si="107"/>
        <v>74770</v>
      </c>
      <c r="DV54" s="1" t="str">
        <f t="shared" si="97"/>
        <v/>
      </c>
      <c r="DW54" s="1" t="str">
        <f t="shared" si="31"/>
        <v/>
      </c>
      <c r="DX54" s="1" t="str">
        <f t="shared" si="32"/>
        <v/>
      </c>
      <c r="DY54" s="5" t="str">
        <f t="shared" si="46"/>
        <v/>
      </c>
      <c r="DZ54" s="5" t="str">
        <f t="shared" si="33"/>
        <v/>
      </c>
      <c r="EA54" s="1" t="str">
        <f t="shared" si="34"/>
        <v/>
      </c>
      <c r="EB54" s="404">
        <f t="shared" si="47"/>
        <v>0</v>
      </c>
      <c r="EC54" s="421" t="str">
        <f t="shared" si="35"/>
        <v/>
      </c>
      <c r="ED54">
        <f t="shared" si="36"/>
        <v>0</v>
      </c>
      <c r="EE54" s="18">
        <f t="shared" si="37"/>
        <v>0</v>
      </c>
      <c r="EF54" s="1" t="str">
        <f t="shared" si="98"/>
        <v/>
      </c>
      <c r="EG54" s="1" t="str">
        <f t="shared" si="99"/>
        <v/>
      </c>
      <c r="EH54" s="1" t="str">
        <f t="shared" si="38"/>
        <v/>
      </c>
      <c r="EI54" s="88"/>
      <c r="EJ54" t="str">
        <f t="shared" si="39"/>
        <v/>
      </c>
      <c r="EO54" s="301"/>
      <c r="EP54" s="1">
        <f t="shared" si="100"/>
        <v>0</v>
      </c>
      <c r="EQ54" s="1">
        <f t="shared" si="101"/>
        <v>0</v>
      </c>
      <c r="EU54" s="1">
        <f t="shared" si="102"/>
        <v>0</v>
      </c>
      <c r="EV54" s="1">
        <f t="shared" si="103"/>
        <v>0</v>
      </c>
      <c r="EZ54" s="1">
        <f t="shared" si="104"/>
        <v>0</v>
      </c>
      <c r="FA54" s="1">
        <f t="shared" si="105"/>
        <v>0</v>
      </c>
      <c r="FE54" s="8"/>
      <c r="FF54" s="8"/>
      <c r="FJ54" s="8"/>
      <c r="FK54" s="8"/>
    </row>
    <row r="55" spans="1:183" ht="17.45" customHeight="1" thickBot="1" x14ac:dyDescent="0.3">
      <c r="A55" s="699"/>
      <c r="B55" s="700" t="s">
        <v>750</v>
      </c>
      <c r="C55" s="699"/>
      <c r="D55" s="699"/>
      <c r="E55" s="700" t="s">
        <v>750</v>
      </c>
      <c r="F55" s="700"/>
      <c r="G55" s="699"/>
      <c r="H55" s="699"/>
      <c r="I55" s="700" t="s">
        <v>750</v>
      </c>
      <c r="J55" s="699"/>
      <c r="K55" s="699"/>
      <c r="L55" s="700" t="s">
        <v>750</v>
      </c>
      <c r="M55" s="699"/>
      <c r="N55" s="700" t="s">
        <v>750</v>
      </c>
      <c r="O55" s="699"/>
      <c r="P55" s="699"/>
      <c r="Q55" s="601"/>
      <c r="R55" s="601"/>
      <c r="S55" s="601"/>
      <c r="W55" s="33"/>
      <c r="X55" s="484" t="str">
        <f t="shared" si="88"/>
        <v/>
      </c>
      <c r="Y55" s="545" t="str">
        <f t="shared" si="89"/>
        <v/>
      </c>
      <c r="Z55" s="544" t="str">
        <f t="shared" si="90"/>
        <v/>
      </c>
      <c r="AA55" s="544" t="str">
        <f t="shared" si="91"/>
        <v/>
      </c>
      <c r="AB55" s="548">
        <f t="shared" si="92"/>
        <v>0</v>
      </c>
      <c r="AC55" s="548">
        <f t="shared" si="93"/>
        <v>0</v>
      </c>
      <c r="AD55" s="722">
        <f t="shared" si="53"/>
        <v>0</v>
      </c>
      <c r="AE55" s="549"/>
      <c r="AF55" s="33"/>
      <c r="CN55">
        <v>52</v>
      </c>
      <c r="CP55" s="392">
        <v>83000</v>
      </c>
      <c r="CQ55" s="6"/>
      <c r="CV55" s="30" t="s">
        <v>27</v>
      </c>
      <c r="CW55" s="31">
        <f>IF(CW56="","",EDATE(CW56,-12))</f>
        <v>45778</v>
      </c>
      <c r="CX55" s="13"/>
      <c r="CY55" s="4"/>
      <c r="DF55" s="16" t="str">
        <f>IFERROR(CW57+0.000000001,"")</f>
        <v/>
      </c>
      <c r="DG55" s="17" t="str">
        <f>IF(DF55="","",CV57)</f>
        <v/>
      </c>
      <c r="DH55" s="16" t="str">
        <f>IF(DF55="","",CX57)</f>
        <v/>
      </c>
      <c r="DI55">
        <f>IFERROR(IF(AND($CS$3=2,DJ55="AGI",INDEX($DJ$4:$DJ$56,MATCH($DR$1,$DJ$4:DJ55,0),1)=$DR$1),2,0),0)</f>
        <v>0</v>
      </c>
      <c r="DJ55" s="1" t="str">
        <f t="shared" si="24"/>
        <v/>
      </c>
      <c r="DK55" s="5" t="str">
        <f t="shared" si="25"/>
        <v/>
      </c>
      <c r="DL55" s="222" t="str">
        <f t="shared" si="26"/>
        <v/>
      </c>
      <c r="DM55" s="225">
        <f t="shared" si="44"/>
        <v>0</v>
      </c>
      <c r="DN55" s="11">
        <f t="shared" si="106"/>
        <v>74770</v>
      </c>
      <c r="DO55" s="226" t="str">
        <f t="shared" si="95"/>
        <v/>
      </c>
      <c r="DP55" s="234">
        <f t="shared" si="45"/>
        <v>74770</v>
      </c>
      <c r="DQ55" s="232" t="str">
        <f t="shared" si="96"/>
        <v/>
      </c>
      <c r="DS55" s="1">
        <f t="shared" si="29"/>
        <v>0</v>
      </c>
      <c r="DT55" s="1">
        <f t="shared" si="107"/>
        <v>74770</v>
      </c>
      <c r="DV55" s="1" t="str">
        <f t="shared" si="97"/>
        <v/>
      </c>
      <c r="DW55" s="1" t="str">
        <f t="shared" si="31"/>
        <v/>
      </c>
      <c r="DX55" s="1" t="str">
        <f t="shared" si="32"/>
        <v/>
      </c>
      <c r="DY55" s="5" t="str">
        <f t="shared" si="46"/>
        <v/>
      </c>
      <c r="DZ55" s="5" t="str">
        <f t="shared" si="33"/>
        <v/>
      </c>
      <c r="EA55" s="1" t="str">
        <f t="shared" si="34"/>
        <v/>
      </c>
      <c r="EB55" s="404">
        <f t="shared" si="47"/>
        <v>0</v>
      </c>
      <c r="EC55" s="421" t="str">
        <f t="shared" si="35"/>
        <v/>
      </c>
      <c r="ED55">
        <f t="shared" si="36"/>
        <v>0</v>
      </c>
      <c r="EE55" s="18">
        <f t="shared" si="37"/>
        <v>0</v>
      </c>
      <c r="EF55" s="1" t="str">
        <f t="shared" si="98"/>
        <v/>
      </c>
      <c r="EG55" s="1" t="str">
        <f t="shared" si="99"/>
        <v/>
      </c>
      <c r="EH55" s="1" t="str">
        <f t="shared" si="38"/>
        <v/>
      </c>
      <c r="EI55" s="88"/>
      <c r="EJ55" t="str">
        <f t="shared" si="39"/>
        <v/>
      </c>
      <c r="EO55" s="301"/>
      <c r="EP55" s="1">
        <f t="shared" si="100"/>
        <v>0</v>
      </c>
      <c r="EQ55" s="1">
        <f t="shared" si="101"/>
        <v>0</v>
      </c>
      <c r="EU55" s="1">
        <f t="shared" si="102"/>
        <v>0</v>
      </c>
      <c r="EV55" s="1">
        <f t="shared" si="103"/>
        <v>0</v>
      </c>
      <c r="EZ55" s="1">
        <f t="shared" si="104"/>
        <v>0</v>
      </c>
      <c r="FA55" s="1">
        <f t="shared" si="105"/>
        <v>0</v>
      </c>
      <c r="FE55" s="8"/>
      <c r="FF55" s="8"/>
      <c r="FJ55" s="8"/>
      <c r="FK55" s="8"/>
    </row>
    <row r="56" spans="1:183" ht="21" customHeight="1" x14ac:dyDescent="0.25">
      <c r="A56" s="1041" t="s">
        <v>533</v>
      </c>
      <c r="B56" s="1042"/>
      <c r="C56" s="1042"/>
      <c r="D56" s="1043"/>
      <c r="E56" s="318" t="s">
        <v>7</v>
      </c>
      <c r="F56" s="33"/>
      <c r="G56" s="33"/>
      <c r="H56" s="33"/>
      <c r="I56" s="33"/>
      <c r="J56" s="33"/>
      <c r="K56" s="33"/>
      <c r="L56" s="33"/>
      <c r="M56" s="33"/>
      <c r="N56" s="33"/>
      <c r="O56" s="33"/>
      <c r="P56" s="33"/>
      <c r="Q56" s="33"/>
      <c r="R56" s="33"/>
      <c r="S56" s="33"/>
      <c r="W56" s="33"/>
      <c r="X56" s="33"/>
      <c r="Y56" s="33"/>
      <c r="Z56" s="33"/>
      <c r="AA56" s="33"/>
      <c r="AB56" s="33"/>
      <c r="AC56" s="721"/>
      <c r="AD56" s="723"/>
      <c r="AE56" s="549"/>
      <c r="AF56" s="33"/>
      <c r="CN56">
        <v>53</v>
      </c>
      <c r="CP56" s="392">
        <v>85240</v>
      </c>
      <c r="CQ56" s="6"/>
      <c r="CV56" s="30" t="s">
        <v>28</v>
      </c>
      <c r="CW56" s="31">
        <f>IF(OR($M$6="",$CU$3=$M$6),"",IF(CX56&gt;CW47,EDATE(CX56,-12),CX56))</f>
        <v>46143</v>
      </c>
      <c r="CX56" s="365">
        <f>DATE(CH3,MATCH(M6,$CU$4:$CU$15,0),1)</f>
        <v>46143</v>
      </c>
      <c r="CY56" s="4"/>
      <c r="DF56" s="16" t="str">
        <f>IFERROR(CW58+0.000000001,"")</f>
        <v/>
      </c>
      <c r="DG56" s="17" t="str">
        <f>IF(DF56="","",CV58)</f>
        <v/>
      </c>
      <c r="DH56" s="16" t="str">
        <f>IF(DF56="","",CX58)</f>
        <v/>
      </c>
      <c r="DI56">
        <f>IFERROR(IF(AND($CS$3=2,DJ56="AGI",INDEX($DJ$4:$DJ$56,MATCH($DR$1,$DJ$4:DJ56,0),1)=$DR$1),2,0),0)</f>
        <v>0</v>
      </c>
      <c r="DJ56" s="1" t="str">
        <f t="shared" si="24"/>
        <v/>
      </c>
      <c r="DK56" s="5" t="str">
        <f>IFERROR(IF(SMALL($DF$4:$DF$58,CN56)&gt;$CJ$2,"",SMALL($DF$4:$DF$58,CN56)),"")</f>
        <v/>
      </c>
      <c r="DL56" s="222" t="str">
        <f t="shared" si="26"/>
        <v/>
      </c>
    </row>
    <row r="57" spans="1:183" ht="19.149999999999999" customHeight="1" thickBot="1" x14ac:dyDescent="0.3">
      <c r="A57" s="1029" t="s">
        <v>109</v>
      </c>
      <c r="B57" s="1029" t="s">
        <v>774</v>
      </c>
      <c r="C57" s="1029"/>
      <c r="D57" s="1034" t="s">
        <v>773</v>
      </c>
      <c r="E57" s="1034" t="s">
        <v>1008</v>
      </c>
      <c r="F57" s="33"/>
      <c r="G57" s="33"/>
      <c r="H57" s="33"/>
      <c r="I57" s="33"/>
      <c r="J57" s="33"/>
      <c r="K57" s="33"/>
      <c r="L57" s="33"/>
      <c r="M57" s="33"/>
      <c r="N57" s="33"/>
      <c r="O57" s="33"/>
      <c r="P57" s="33"/>
      <c r="Q57" s="33"/>
      <c r="R57" s="33"/>
      <c r="S57" s="33"/>
      <c r="W57" s="33"/>
      <c r="X57" s="1015" t="s">
        <v>748</v>
      </c>
      <c r="Y57" s="992" t="s">
        <v>714</v>
      </c>
      <c r="Z57" s="993"/>
      <c r="AA57" s="993" t="str">
        <f>AB5</f>
        <v>Diff-3.64</v>
      </c>
      <c r="AB57" s="993" t="s">
        <v>15</v>
      </c>
      <c r="AC57" s="993" t="str">
        <f>AC5</f>
        <v>if CPS 10%</v>
      </c>
      <c r="AD57" s="993" t="str">
        <f>AD5</f>
        <v>if CPS 90%</v>
      </c>
      <c r="AE57" s="747"/>
      <c r="AF57" s="33"/>
      <c r="CN57">
        <v>54</v>
      </c>
      <c r="CP57" s="392">
        <v>87480</v>
      </c>
      <c r="CQ57" s="6"/>
      <c r="CV57" s="27" t="s">
        <v>31</v>
      </c>
      <c r="CW57" s="28" t="str">
        <f>IFERROR(IF(OR($CV$3=M37,M37=""),"",INDEX($CW$4:$CW$48,MATCH(M37,$CV$4:$CV$48,0),1)),"")</f>
        <v/>
      </c>
      <c r="CX57" s="28" t="str">
        <f>IFERROR(IF(N37=30,EOMONTH(CW57,0),DATE(YEAR(CW57),MONTH(CW57),15)),"")</f>
        <v/>
      </c>
      <c r="CY57" s="4"/>
      <c r="DF57" s="16" t="str">
        <f>IFERROR(CW59+0.000000001,"")</f>
        <v/>
      </c>
      <c r="DG57" s="17" t="str">
        <f>IF(DF57="","",CV59)</f>
        <v/>
      </c>
      <c r="DH57" s="16" t="str">
        <f>IF(DF57="","",CX59)</f>
        <v/>
      </c>
      <c r="EO57" t="s">
        <v>610</v>
      </c>
      <c r="EP57" t="str">
        <f>K40</f>
        <v>N.A</v>
      </c>
      <c r="ET57" s="509" t="s">
        <v>610</v>
      </c>
      <c r="EZ57" t="s">
        <v>610</v>
      </c>
    </row>
    <row r="58" spans="1:183" ht="22.5" customHeight="1" x14ac:dyDescent="0.25">
      <c r="A58" s="1029"/>
      <c r="B58" s="1029"/>
      <c r="C58" s="1029"/>
      <c r="D58" s="1034"/>
      <c r="E58" s="1034"/>
      <c r="F58" s="33"/>
      <c r="G58" s="33"/>
      <c r="H58" s="33"/>
      <c r="I58" s="33"/>
      <c r="J58" s="33"/>
      <c r="K58" s="33"/>
      <c r="L58" s="33"/>
      <c r="M58" s="33"/>
      <c r="N58" s="33"/>
      <c r="O58" s="33"/>
      <c r="P58" s="33"/>
      <c r="Q58" s="33"/>
      <c r="R58" s="33"/>
      <c r="S58" s="33"/>
      <c r="W58" s="33"/>
      <c r="X58" s="1015"/>
      <c r="Y58" s="992" t="s">
        <v>1040</v>
      </c>
      <c r="Z58" s="992"/>
      <c r="AA58" s="992">
        <f>EP68</f>
        <v>0</v>
      </c>
      <c r="AB58" s="992">
        <f t="shared" ref="AB58:AD61" si="116">EP68</f>
        <v>0</v>
      </c>
      <c r="AC58" s="992">
        <f t="shared" si="116"/>
        <v>0</v>
      </c>
      <c r="AD58" s="992">
        <f t="shared" si="116"/>
        <v>0</v>
      </c>
      <c r="AE58" s="747"/>
      <c r="AF58" s="33"/>
      <c r="CN58">
        <v>55</v>
      </c>
      <c r="CP58" s="392">
        <v>89720</v>
      </c>
      <c r="CQ58" s="6"/>
      <c r="CV58" s="27" t="s">
        <v>32</v>
      </c>
      <c r="CW58" s="28" t="str">
        <f>IFERROR(IF(OR($CV$3=M35,M35=""),"",INDEX($CW$4:$CW$48,MATCH(M35,$CV$4:$CV$48,0),1)),"")</f>
        <v/>
      </c>
      <c r="CX58" s="28" t="e">
        <f>IF(N35=30,EOMONTH(CW58,0),DATE(YEAR(CW58),MONTH(CW58),15))</f>
        <v>#VALUE!</v>
      </c>
      <c r="CY58" s="4"/>
      <c r="DF58" s="16" t="str">
        <f>IFERROR(CW60+0.000000001,"")</f>
        <v/>
      </c>
      <c r="DG58" s="17" t="str">
        <f>IF(DF58="","",CV60)</f>
        <v/>
      </c>
      <c r="DH58" s="16" t="str">
        <f>IF(DF58="","",CX60)</f>
        <v/>
      </c>
      <c r="DJ58" s="426" t="str">
        <f>CW49</f>
        <v/>
      </c>
      <c r="DK58" s="427" t="e">
        <f>EOMONTH(DJ58,0)</f>
        <v>#VALUE!</v>
      </c>
      <c r="DL58" s="435" t="e">
        <f>INDEX(EH4:EH55,DJ60,0)</f>
        <v>#N/A</v>
      </c>
      <c r="EO58" t="str">
        <f>"DA@"&amp;EQ2&amp;""</f>
        <v>DA@37.31</v>
      </c>
      <c r="EP58" s="22" t="s">
        <v>614</v>
      </c>
      <c r="EQ58" s="422">
        <f>IF($M$7="CPS",1,2)</f>
        <v>1</v>
      </c>
      <c r="ET58" s="18" t="str">
        <f>"DA@"&amp;EV2</f>
        <v>DA@33.67</v>
      </c>
      <c r="EZ58" t="str">
        <f>"DA@"&amp;FA2</f>
        <v>DA@33.67</v>
      </c>
    </row>
    <row r="59" spans="1:183" ht="17.649999999999999" customHeight="1" x14ac:dyDescent="0.25">
      <c r="A59" s="640">
        <v>1</v>
      </c>
      <c r="B59" s="640" t="s">
        <v>51</v>
      </c>
      <c r="C59" s="639" t="str">
        <f>'FORM 10E'!P63</f>
        <v>2011-12</v>
      </c>
      <c r="D59" s="381"/>
      <c r="E59" s="381"/>
      <c r="F59" s="33"/>
      <c r="G59" s="33"/>
      <c r="H59" s="33"/>
      <c r="I59" s="33"/>
      <c r="J59" s="33"/>
      <c r="K59" s="33"/>
      <c r="L59" s="33"/>
      <c r="M59" s="33"/>
      <c r="N59" s="33"/>
      <c r="O59" s="33"/>
      <c r="P59" s="33"/>
      <c r="Q59" s="33"/>
      <c r="R59" s="33"/>
      <c r="S59" s="33"/>
      <c r="W59" s="33"/>
      <c r="X59" s="1015"/>
      <c r="Y59" s="992" t="str">
        <f>EO61</f>
        <v>FY 2022-23</v>
      </c>
      <c r="Z59" s="992"/>
      <c r="AA59" s="992">
        <f>EP69</f>
        <v>0</v>
      </c>
      <c r="AB59" s="992">
        <f t="shared" si="116"/>
        <v>0</v>
      </c>
      <c r="AC59" s="992">
        <f t="shared" si="116"/>
        <v>0</v>
      </c>
      <c r="AD59" s="992">
        <f t="shared" si="116"/>
        <v>0</v>
      </c>
      <c r="AE59" s="747"/>
      <c r="AF59" s="33"/>
      <c r="CN59">
        <v>56</v>
      </c>
      <c r="CP59" s="392">
        <v>92110</v>
      </c>
      <c r="CQ59" s="6"/>
      <c r="CV59" s="27" t="s">
        <v>33</v>
      </c>
      <c r="CW59" s="28" t="str">
        <f>IFERROR(IF(OR($CV$3=AT39,AT39=""),"",INDEX($CW$4:$CW$48,MATCH(AT39,$CV$4:$CV$48,0),1)),"")</f>
        <v/>
      </c>
      <c r="CX59" s="28" t="e">
        <f>IF(AU39=30,EOMONTH(CW59,0),DATE(YEAR(CW59),MONTH(CW59),15))</f>
        <v>#VALUE!</v>
      </c>
      <c r="CY59" s="4"/>
      <c r="DJ59" s="429" t="s">
        <v>29</v>
      </c>
      <c r="DK59" s="436" t="e">
        <f>INDEX($DT$4:$DT$55,DJ60,0)</f>
        <v>#N/A</v>
      </c>
      <c r="DL59" s="437"/>
      <c r="DU59" s="384"/>
      <c r="DV59" s="384"/>
      <c r="DW59" s="384"/>
      <c r="DX59" s="384"/>
      <c r="DY59" s="384"/>
      <c r="DZ59" s="384"/>
      <c r="EA59" s="384"/>
      <c r="EI59" s="315"/>
      <c r="EO59" s="315"/>
      <c r="ET59" s="18"/>
      <c r="EW59" t="s">
        <v>472</v>
      </c>
      <c r="FB59" t="s">
        <v>471</v>
      </c>
    </row>
    <row r="60" spans="1:183" ht="18" customHeight="1" x14ac:dyDescent="0.25">
      <c r="A60" s="640">
        <v>2</v>
      </c>
      <c r="B60" s="640" t="s">
        <v>51</v>
      </c>
      <c r="C60" s="639" t="str">
        <f>'FORM 10E'!P64</f>
        <v>2012-13</v>
      </c>
      <c r="D60" s="381"/>
      <c r="E60" s="381"/>
      <c r="F60" s="33"/>
      <c r="G60" s="33"/>
      <c r="H60" s="33"/>
      <c r="I60" s="33"/>
      <c r="J60" s="33"/>
      <c r="K60" s="33"/>
      <c r="L60" s="33"/>
      <c r="M60" s="33"/>
      <c r="N60" s="33"/>
      <c r="O60" s="33"/>
      <c r="P60" s="33"/>
      <c r="Q60" s="33"/>
      <c r="R60" s="33"/>
      <c r="S60" s="33"/>
      <c r="W60" s="33"/>
      <c r="X60" s="1015"/>
      <c r="Y60" s="992" t="str">
        <f>EO62</f>
        <v>FY 2023-24</v>
      </c>
      <c r="Z60" s="992"/>
      <c r="AA60" s="992">
        <f>EP70</f>
        <v>0</v>
      </c>
      <c r="AB60" s="992">
        <f t="shared" si="116"/>
        <v>0</v>
      </c>
      <c r="AC60" s="992">
        <f t="shared" si="116"/>
        <v>0</v>
      </c>
      <c r="AD60" s="992">
        <f t="shared" si="116"/>
        <v>0</v>
      </c>
      <c r="AE60" s="747"/>
      <c r="AF60" s="33"/>
      <c r="CN60">
        <v>57</v>
      </c>
      <c r="CP60" s="392">
        <v>94500</v>
      </c>
      <c r="CQ60" s="6"/>
      <c r="CV60" s="27" t="s">
        <v>34</v>
      </c>
      <c r="CW60" s="28" t="str">
        <f>IFERROR(IF(OR($CV$3=M36,M36=""),"",INDEX($CW$4:$CW$48,MATCH(M36,$CV$4:$CV$48,0),1)),"")</f>
        <v/>
      </c>
      <c r="CX60" s="28" t="e">
        <f>IF(N36=30,EOMONTH(CW60,0),DATE(YEAR(CW60),MONTH(CW60),15))</f>
        <v>#VALUE!</v>
      </c>
      <c r="DJ60" s="429" t="e">
        <f>MATCH("AAS",DJ4:DJ55,0)</f>
        <v>#N/A</v>
      </c>
      <c r="DK60" s="436" t="e">
        <f>INDEX($DT$4:$DT$55,DJ60-1,0)</f>
        <v>#N/A</v>
      </c>
      <c r="DL60" s="438" t="e">
        <f>DK59-DK60</f>
        <v>#N/A</v>
      </c>
      <c r="EI60" s="315"/>
      <c r="EO60" s="395" t="s">
        <v>1039</v>
      </c>
      <c r="EP60" s="814">
        <f>EP1</f>
        <v>45292</v>
      </c>
      <c r="EQ60" s="814">
        <f>EOMONTH(EQ1,0)</f>
        <v>45930</v>
      </c>
      <c r="ES60" s="399"/>
      <c r="ET60" t="str">
        <f>EO60</f>
        <v>UP TO GPF</v>
      </c>
      <c r="EU60" s="251">
        <f>EU1</f>
        <v>45474</v>
      </c>
      <c r="EV60" s="251">
        <f>EV1</f>
        <v>45808</v>
      </c>
      <c r="EW60" s="252">
        <f>IF(EU60="","",EV60)</f>
        <v>45808</v>
      </c>
      <c r="EX60" s="477"/>
      <c r="EY60" s="478"/>
      <c r="EZ60" s="366"/>
      <c r="FA60" s="366"/>
      <c r="FB60" s="367"/>
    </row>
    <row r="61" spans="1:183" ht="18.399999999999999" customHeight="1" thickBot="1" x14ac:dyDescent="0.3">
      <c r="A61" s="640">
        <v>3</v>
      </c>
      <c r="B61" s="640" t="s">
        <v>51</v>
      </c>
      <c r="C61" s="639" t="str">
        <f>'FORM 10E'!P65</f>
        <v>2013-14</v>
      </c>
      <c r="D61" s="381"/>
      <c r="E61" s="381"/>
      <c r="F61" s="33"/>
      <c r="G61" s="33"/>
      <c r="H61" s="33"/>
      <c r="I61" s="33"/>
      <c r="J61" s="33"/>
      <c r="K61" s="33"/>
      <c r="L61" s="33"/>
      <c r="M61" s="33"/>
      <c r="N61" s="33"/>
      <c r="O61" s="33"/>
      <c r="P61" s="33"/>
      <c r="Q61" s="33"/>
      <c r="R61" s="33"/>
      <c r="S61" s="33"/>
      <c r="W61" s="33"/>
      <c r="X61" s="1015"/>
      <c r="Y61" s="992" t="str">
        <f>EO63</f>
        <v>FY 2024-25</v>
      </c>
      <c r="Z61" s="994"/>
      <c r="AA61" s="992">
        <f>EP71</f>
        <v>0</v>
      </c>
      <c r="AB61" s="992">
        <f t="shared" si="116"/>
        <v>0</v>
      </c>
      <c r="AC61" s="992">
        <f t="shared" si="116"/>
        <v>0</v>
      </c>
      <c r="AD61" s="992">
        <f t="shared" si="116"/>
        <v>0</v>
      </c>
      <c r="AE61" s="747"/>
      <c r="AF61" s="33"/>
      <c r="CN61">
        <v>58</v>
      </c>
      <c r="CP61" s="392">
        <v>96890</v>
      </c>
      <c r="CQ61" s="6"/>
      <c r="DJ61" s="432"/>
      <c r="DK61" s="433"/>
      <c r="DL61" s="434">
        <f>IFERROR(ROUND(DL60/DAY(DK58)*DL58,0),0)</f>
        <v>0</v>
      </c>
      <c r="EI61" s="315"/>
      <c r="EO61" s="395" t="s">
        <v>713</v>
      </c>
      <c r="EP61" s="814">
        <v>44652</v>
      </c>
      <c r="EQ61" s="814">
        <v>45016</v>
      </c>
      <c r="ES61" s="399"/>
      <c r="ET61" s="18" t="str">
        <f>EO62</f>
        <v>FY 2023-24</v>
      </c>
      <c r="EU61" s="251"/>
      <c r="EV61" s="251"/>
      <c r="EW61" s="252" t="str">
        <f>IF(EU61="","",EV61)</f>
        <v/>
      </c>
      <c r="EX61" s="477"/>
      <c r="EY61" s="478"/>
      <c r="EZ61" s="366"/>
      <c r="FA61" s="366"/>
      <c r="FB61" s="367"/>
    </row>
    <row r="62" spans="1:183" ht="21.4" customHeight="1" thickBot="1" x14ac:dyDescent="0.3">
      <c r="A62" s="640">
        <v>4</v>
      </c>
      <c r="B62" s="640" t="s">
        <v>51</v>
      </c>
      <c r="C62" s="639" t="str">
        <f>'FORM 10E'!P66</f>
        <v>2014-15</v>
      </c>
      <c r="D62" s="381"/>
      <c r="E62" s="381"/>
      <c r="F62" s="33"/>
      <c r="G62" s="33"/>
      <c r="H62" s="701"/>
      <c r="I62" s="33"/>
      <c r="J62" s="33"/>
      <c r="K62" s="33"/>
      <c r="L62" s="33"/>
      <c r="M62" s="33"/>
      <c r="N62" s="33"/>
      <c r="O62" s="33"/>
      <c r="P62" s="33"/>
      <c r="Q62" s="33"/>
      <c r="R62" s="33"/>
      <c r="S62" s="33"/>
      <c r="T62" s="33"/>
      <c r="U62" s="33"/>
      <c r="V62" s="33"/>
      <c r="W62" s="33"/>
      <c r="X62" s="995"/>
      <c r="Y62" s="995"/>
      <c r="Z62" s="995"/>
      <c r="AA62" s="995"/>
      <c r="AB62" s="995"/>
      <c r="AC62" s="995"/>
      <c r="AD62" s="995"/>
      <c r="AE62" s="549"/>
      <c r="AF62" s="33"/>
      <c r="CN62">
        <v>59</v>
      </c>
      <c r="CP62" s="392">
        <v>99430</v>
      </c>
      <c r="CQ62" s="6"/>
      <c r="EI62" s="315"/>
      <c r="EO62" s="395" t="s">
        <v>771</v>
      </c>
      <c r="EP62" s="814">
        <v>45017</v>
      </c>
      <c r="EQ62" s="814">
        <v>45382</v>
      </c>
      <c r="ES62" s="399"/>
      <c r="ET62" s="18" t="str">
        <f t="shared" ref="ET62" si="117">EO63</f>
        <v>FY 2024-25</v>
      </c>
      <c r="EU62" s="251"/>
      <c r="EV62" s="251"/>
      <c r="EW62" s="252" t="str">
        <f t="shared" ref="EW62" si="118">IF(EU62="","",EV62)</f>
        <v/>
      </c>
      <c r="EX62" s="477"/>
      <c r="EY62" s="478"/>
      <c r="EZ62" s="366"/>
      <c r="FA62" s="366"/>
      <c r="FB62" s="367"/>
    </row>
    <row r="63" spans="1:183" ht="21.4" customHeight="1" x14ac:dyDescent="0.25">
      <c r="A63" s="640">
        <v>5</v>
      </c>
      <c r="B63" s="640" t="s">
        <v>51</v>
      </c>
      <c r="C63" s="639" t="str">
        <f>'FORM 10E'!P67</f>
        <v>2015-16</v>
      </c>
      <c r="D63" s="381"/>
      <c r="E63" s="381"/>
      <c r="F63" s="33"/>
      <c r="G63" s="701"/>
      <c r="H63" s="701"/>
      <c r="I63" s="33"/>
      <c r="J63" s="33"/>
      <c r="K63" s="33"/>
      <c r="L63" s="33"/>
      <c r="M63" s="33"/>
      <c r="N63" s="33"/>
      <c r="O63" s="33"/>
      <c r="P63" s="33"/>
      <c r="Q63" s="33"/>
      <c r="R63" s="33"/>
      <c r="S63" s="33"/>
      <c r="T63" s="33"/>
      <c r="U63" s="33"/>
      <c r="V63" s="33"/>
      <c r="W63" s="33"/>
      <c r="X63" s="995"/>
      <c r="Y63" s="995"/>
      <c r="Z63" s="995"/>
      <c r="AA63" s="995"/>
      <c r="AB63" s="995"/>
      <c r="AC63" s="995"/>
      <c r="AD63" s="995"/>
      <c r="AE63" s="33"/>
      <c r="AF63" s="33"/>
      <c r="AK63" s="720"/>
      <c r="CN63">
        <v>60</v>
      </c>
      <c r="CP63" s="392">
        <v>101970</v>
      </c>
      <c r="CQ63" s="6"/>
      <c r="DJ63" s="426" t="str">
        <f>CW50</f>
        <v/>
      </c>
      <c r="DK63" s="427" t="str">
        <f>CX50</f>
        <v/>
      </c>
      <c r="DL63" s="428" t="e">
        <f>DAY(CX50)-DAY(DJ63)+1</f>
        <v>#VALUE!</v>
      </c>
      <c r="EO63" s="395" t="s">
        <v>788</v>
      </c>
      <c r="EP63" s="814">
        <v>45383</v>
      </c>
      <c r="EQ63" s="814">
        <v>45747</v>
      </c>
      <c r="ES63" s="399"/>
      <c r="ET63" s="18"/>
      <c r="EX63" s="88"/>
      <c r="EY63" s="301"/>
    </row>
    <row r="64" spans="1:183" ht="21.4" customHeight="1" x14ac:dyDescent="0.25">
      <c r="A64" s="640">
        <v>6</v>
      </c>
      <c r="B64" s="640" t="s">
        <v>51</v>
      </c>
      <c r="C64" s="639" t="str">
        <f>'FORM 10E'!P68</f>
        <v>2016-17</v>
      </c>
      <c r="D64" s="381"/>
      <c r="E64" s="381"/>
      <c r="F64" s="33"/>
      <c r="G64" s="1029" t="s">
        <v>1109</v>
      </c>
      <c r="H64" s="1029"/>
      <c r="I64" s="33"/>
      <c r="J64" s="33"/>
      <c r="K64" s="33"/>
      <c r="L64" s="33"/>
      <c r="M64" s="33"/>
      <c r="N64" s="33"/>
      <c r="O64" s="33"/>
      <c r="P64" s="33"/>
      <c r="Q64" s="33"/>
      <c r="R64" s="33"/>
      <c r="S64" s="33"/>
      <c r="T64" s="33"/>
      <c r="U64" s="33"/>
      <c r="V64" s="33"/>
      <c r="W64" s="33"/>
      <c r="X64" s="995"/>
      <c r="Y64" s="995"/>
      <c r="Z64" s="995"/>
      <c r="AA64" s="995"/>
      <c r="AB64" s="995"/>
      <c r="AC64" s="995"/>
      <c r="AD64" s="995"/>
      <c r="AE64" s="33"/>
      <c r="AF64" s="33"/>
      <c r="CN64">
        <v>61</v>
      </c>
      <c r="CP64" s="392">
        <v>104510</v>
      </c>
      <c r="CQ64" s="6"/>
      <c r="DJ64" s="429" t="s">
        <v>30</v>
      </c>
      <c r="DK64" s="1" t="e">
        <f>INDEX($DT$4:$DT$55,DJ65,0)</f>
        <v>#N/A</v>
      </c>
      <c r="DL64" s="430"/>
      <c r="EO64" s="395" t="s">
        <v>1060</v>
      </c>
      <c r="EP64" s="814">
        <v>45748</v>
      </c>
      <c r="EQ64" s="814">
        <v>46112</v>
      </c>
      <c r="ES64" s="399"/>
      <c r="EX64" s="88"/>
      <c r="EY64" s="301"/>
    </row>
    <row r="65" spans="1:159" ht="21.4" customHeight="1" x14ac:dyDescent="0.25">
      <c r="A65" s="640">
        <v>7</v>
      </c>
      <c r="B65" s="640" t="s">
        <v>51</v>
      </c>
      <c r="C65" s="639" t="str">
        <f>'FORM 10E'!P69</f>
        <v>2017-18</v>
      </c>
      <c r="D65" s="381"/>
      <c r="E65" s="381"/>
      <c r="F65" s="33"/>
      <c r="G65" s="1029"/>
      <c r="H65" s="1029"/>
      <c r="I65" s="33"/>
      <c r="J65" s="33"/>
      <c r="K65" s="33"/>
      <c r="L65" s="33"/>
      <c r="M65" s="33"/>
      <c r="N65" s="33"/>
      <c r="O65" s="33"/>
      <c r="P65" s="33"/>
      <c r="Q65" s="33"/>
      <c r="R65" s="33"/>
      <c r="S65" s="33"/>
      <c r="T65" s="33"/>
      <c r="U65" s="33"/>
      <c r="V65" s="33"/>
      <c r="W65" s="33"/>
      <c r="X65" s="995"/>
      <c r="Y65" s="995"/>
      <c r="Z65" s="995"/>
      <c r="AA65" s="995"/>
      <c r="AB65" s="995"/>
      <c r="AC65" s="995"/>
      <c r="AD65" s="995"/>
      <c r="AE65" s="33"/>
      <c r="AF65" s="33"/>
      <c r="CN65">
        <v>62</v>
      </c>
      <c r="CP65" s="392">
        <v>107210</v>
      </c>
      <c r="CQ65" s="6"/>
      <c r="DJ65" s="429" t="e">
        <f>MATCH("PRO",DJ4:DJ55,0)</f>
        <v>#N/A</v>
      </c>
      <c r="DK65" s="1" t="e">
        <f>INDEX($DT$4:$DT$55,DJ65-1,0)</f>
        <v>#N/A</v>
      </c>
      <c r="DL65" s="431" t="e">
        <f>DK64-DK65</f>
        <v>#N/A</v>
      </c>
    </row>
    <row r="66" spans="1:159" ht="21.4" customHeight="1" thickBot="1" x14ac:dyDescent="0.3">
      <c r="A66" s="640">
        <v>8</v>
      </c>
      <c r="B66" s="640" t="s">
        <v>51</v>
      </c>
      <c r="C66" s="639" t="str">
        <f>'FORM 10E'!P70</f>
        <v>2018-19</v>
      </c>
      <c r="D66" s="381"/>
      <c r="E66" s="381"/>
      <c r="F66" s="33"/>
      <c r="G66" s="1029"/>
      <c r="H66" s="1029"/>
      <c r="I66" s="33"/>
      <c r="J66" s="33"/>
      <c r="K66" s="33"/>
      <c r="L66" s="33"/>
      <c r="M66" s="33"/>
      <c r="N66" s="33"/>
      <c r="O66" s="33"/>
      <c r="P66" s="33"/>
      <c r="Q66" s="33"/>
      <c r="R66" s="33"/>
      <c r="S66" s="33"/>
      <c r="T66" s="33"/>
      <c r="U66" s="33"/>
      <c r="V66" s="33"/>
      <c r="W66" s="33"/>
      <c r="X66" s="995"/>
      <c r="Y66" s="995"/>
      <c r="Z66" s="1014" t="s">
        <v>1020</v>
      </c>
      <c r="AA66" s="1014"/>
      <c r="AB66" s="1014"/>
      <c r="AC66" s="1014"/>
      <c r="AD66" s="1014"/>
      <c r="AE66" s="33"/>
      <c r="AF66" s="33"/>
      <c r="CN66">
        <v>63</v>
      </c>
      <c r="CP66" s="392">
        <v>109910</v>
      </c>
      <c r="CQ66" s="6"/>
      <c r="DJ66" s="432"/>
      <c r="DK66" s="433"/>
      <c r="DL66" s="434" t="e">
        <f>ROUND(DL65/DAY(DK63)*DL63,0)</f>
        <v>#N/A</v>
      </c>
    </row>
    <row r="67" spans="1:159" ht="21.4" customHeight="1" x14ac:dyDescent="0.25">
      <c r="A67" s="640">
        <v>9</v>
      </c>
      <c r="B67" s="640" t="s">
        <v>51</v>
      </c>
      <c r="C67" s="639" t="str">
        <f>'FORM 10E'!P71</f>
        <v>2019-20</v>
      </c>
      <c r="D67" s="381"/>
      <c r="E67" s="381"/>
      <c r="F67" s="33"/>
      <c r="G67" s="1029"/>
      <c r="H67" s="1029"/>
      <c r="I67" s="33"/>
      <c r="J67" s="33"/>
      <c r="K67" s="33"/>
      <c r="L67" s="33"/>
      <c r="M67" s="33"/>
      <c r="N67" s="33"/>
      <c r="O67" s="33"/>
      <c r="P67" s="33"/>
      <c r="Q67" s="33"/>
      <c r="R67" s="33"/>
      <c r="S67" s="33"/>
      <c r="T67" s="33"/>
      <c r="U67" s="33"/>
      <c r="V67" s="33"/>
      <c r="W67" s="33"/>
      <c r="X67" s="995"/>
      <c r="Y67" s="995"/>
      <c r="Z67" s="992"/>
      <c r="AA67" s="992" t="s">
        <v>1019</v>
      </c>
      <c r="AB67" s="996" t="s">
        <v>15</v>
      </c>
      <c r="AC67" s="996" t="str">
        <f>AC57</f>
        <v>if CPS 10%</v>
      </c>
      <c r="AD67" s="997" t="s">
        <v>1107</v>
      </c>
      <c r="AE67" s="33"/>
      <c r="AF67" s="33"/>
      <c r="CN67">
        <v>64</v>
      </c>
      <c r="CP67" s="392">
        <v>112610</v>
      </c>
      <c r="CQ67" s="6"/>
      <c r="EO67" s="18"/>
      <c r="EP67" s="727" t="s">
        <v>15</v>
      </c>
      <c r="EQ67" s="727" t="s">
        <v>1017</v>
      </c>
      <c r="ER67" s="727" t="s">
        <v>1038</v>
      </c>
      <c r="ES67" s="399"/>
      <c r="ET67" s="301"/>
      <c r="EU67" s="1">
        <f t="shared" ref="EU67:EV69" si="119">SUMIFS(EU$4:EU$55,$DK$4:$DK$55,"&gt;="&amp;$EU60,$DK$4:$DK$55,"&lt;="&amp;$EV60)</f>
        <v>0</v>
      </c>
      <c r="EV67" s="1">
        <f t="shared" si="119"/>
        <v>0</v>
      </c>
      <c r="EW67" s="1"/>
      <c r="EX67" s="88"/>
      <c r="EY67" s="301"/>
      <c r="EZ67" s="1"/>
      <c r="FA67" s="1"/>
      <c r="FB67" s="1"/>
    </row>
    <row r="68" spans="1:159" ht="21.4" customHeight="1" x14ac:dyDescent="0.25">
      <c r="A68" s="640">
        <v>10</v>
      </c>
      <c r="B68" s="640" t="s">
        <v>51</v>
      </c>
      <c r="C68" s="639" t="str">
        <f>'FORM 10E'!P72</f>
        <v>2020-21</v>
      </c>
      <c r="D68" s="381"/>
      <c r="E68" s="381"/>
      <c r="F68" s="8" t="s">
        <v>777</v>
      </c>
      <c r="G68" s="1008" t="s">
        <v>776</v>
      </c>
      <c r="H68" s="1008"/>
      <c r="I68" s="33"/>
      <c r="J68" s="33"/>
      <c r="K68" s="33"/>
      <c r="L68" s="33"/>
      <c r="M68" s="33"/>
      <c r="N68" s="33"/>
      <c r="O68" s="33"/>
      <c r="P68" s="33"/>
      <c r="Q68" s="33"/>
      <c r="R68" s="33"/>
      <c r="S68" s="33"/>
      <c r="T68" s="33"/>
      <c r="U68" s="33"/>
      <c r="V68" s="33"/>
      <c r="W68" s="33"/>
      <c r="X68" s="995"/>
      <c r="Y68" s="995"/>
      <c r="Z68" s="992" t="str">
        <f>Y59</f>
        <v>FY 2022-23</v>
      </c>
      <c r="AA68" s="992">
        <f>MIN(ROUND(AB61/17,0)*2,AB59)</f>
        <v>0</v>
      </c>
      <c r="AB68" s="992">
        <f t="shared" ref="AB68:AC70" si="120">AB59</f>
        <v>0</v>
      </c>
      <c r="AC68" s="994">
        <f t="shared" si="120"/>
        <v>0</v>
      </c>
      <c r="AD68" s="994"/>
      <c r="AE68" s="33"/>
      <c r="AF68" s="33"/>
      <c r="CN68">
        <v>65</v>
      </c>
      <c r="CP68" s="392">
        <v>115500</v>
      </c>
      <c r="CQ68" s="6"/>
      <c r="EO68" s="744" t="s">
        <v>1037</v>
      </c>
      <c r="EP68" s="745">
        <f>SUMIFS(EP$4:EP$55,$DK$4:$DK$55,"&gt;="&amp;EP$60,$DK$4:$DK$55,"&lt;="&amp;EQ$60)</f>
        <v>0</v>
      </c>
      <c r="EQ68" s="746">
        <f>SUMIFS(EQ$4:EQ$55,$DK$4:$DK$55,"&gt;="&amp;EP60,$DK$4:$DK$55,"&lt;="&amp;EQ60)</f>
        <v>0</v>
      </c>
      <c r="ER68" s="735">
        <f>EP68-EQ68</f>
        <v>0</v>
      </c>
      <c r="ET68" s="301"/>
      <c r="EU68" s="1">
        <f t="shared" si="119"/>
        <v>0</v>
      </c>
      <c r="EV68" s="1">
        <f t="shared" si="119"/>
        <v>0</v>
      </c>
      <c r="EW68" s="1"/>
      <c r="EX68" s="88"/>
      <c r="EY68" s="301"/>
      <c r="EZ68" s="1"/>
      <c r="FA68" s="1"/>
      <c r="FB68" s="1"/>
    </row>
    <row r="69" spans="1:159" ht="21.4" customHeight="1" x14ac:dyDescent="0.25">
      <c r="A69" s="640">
        <v>11</v>
      </c>
      <c r="B69" s="640" t="s">
        <v>51</v>
      </c>
      <c r="C69" s="639" t="str">
        <f>'FORM 10E'!P73</f>
        <v>2021-22</v>
      </c>
      <c r="D69" s="381"/>
      <c r="E69" s="381"/>
      <c r="F69" s="8" t="s">
        <v>777</v>
      </c>
      <c r="G69" s="1008" t="s">
        <v>776</v>
      </c>
      <c r="H69" s="1008"/>
      <c r="I69" s="995"/>
      <c r="J69" s="995"/>
      <c r="K69" s="998" t="s">
        <v>1021</v>
      </c>
      <c r="L69" s="33"/>
      <c r="M69" s="33"/>
      <c r="N69" s="33"/>
      <c r="O69" s="33"/>
      <c r="P69" s="33"/>
      <c r="Q69" s="33"/>
      <c r="R69" s="33"/>
      <c r="S69" s="33"/>
      <c r="T69" s="33"/>
      <c r="U69" s="33"/>
      <c r="V69" s="33"/>
      <c r="W69" s="33"/>
      <c r="X69" s="995"/>
      <c r="Y69" s="995"/>
      <c r="Z69" s="992" t="str">
        <f>Y60</f>
        <v>FY 2023-24</v>
      </c>
      <c r="AA69" s="992">
        <v>0</v>
      </c>
      <c r="AB69" s="992">
        <f t="shared" si="120"/>
        <v>0</v>
      </c>
      <c r="AC69" s="994">
        <f t="shared" si="120"/>
        <v>0</v>
      </c>
      <c r="AD69" s="994"/>
      <c r="AE69" s="33"/>
      <c r="AF69" s="33"/>
      <c r="CN69">
        <v>66</v>
      </c>
      <c r="CP69" s="392">
        <v>118390</v>
      </c>
      <c r="CQ69" s="6"/>
      <c r="EO69" s="301" t="str">
        <f>EO61</f>
        <v>FY 2022-23</v>
      </c>
      <c r="EP69" s="8">
        <f>SUMIFS(EP$4:EP$55,$DK$4:$DK$55,"&gt;="&amp;EP61,$DK$4:$DK$55,"&lt;="&amp;EQ61)</f>
        <v>0</v>
      </c>
      <c r="EQ69" s="425">
        <f>SUMIFS(EQ$4:EQ$55,$DK$4:$DK$55,"&gt;="&amp;EP61,$DK$4:$DK$55,"&lt;="&amp;EQ61)</f>
        <v>0</v>
      </c>
      <c r="ER69" s="726">
        <f>EP69-EQ69</f>
        <v>0</v>
      </c>
      <c r="ET69" s="301"/>
      <c r="EU69" s="1">
        <f t="shared" si="119"/>
        <v>0</v>
      </c>
      <c r="EV69" s="1">
        <f t="shared" si="119"/>
        <v>0</v>
      </c>
      <c r="EW69" s="1"/>
      <c r="EX69" s="88"/>
      <c r="EY69" s="301"/>
      <c r="EZ69" s="1"/>
      <c r="FA69" s="1"/>
      <c r="FB69" s="1"/>
    </row>
    <row r="70" spans="1:159" ht="21.4" customHeight="1" x14ac:dyDescent="0.25">
      <c r="A70" s="640">
        <v>12</v>
      </c>
      <c r="B70" s="640" t="s">
        <v>51</v>
      </c>
      <c r="C70" s="639" t="str">
        <f>'FORM 10E'!P74</f>
        <v>2022-23</v>
      </c>
      <c r="D70" s="381"/>
      <c r="E70" s="381"/>
      <c r="F70" s="8" t="s">
        <v>777</v>
      </c>
      <c r="G70" s="1008" t="s">
        <v>776</v>
      </c>
      <c r="H70" s="1008"/>
      <c r="I70" s="999" t="str">
        <f>C70</f>
        <v>2022-23</v>
      </c>
      <c r="J70" s="999"/>
      <c r="K70" s="1000">
        <f>IF(OR(D70="",D70=0),0,IF(NOT(M7=$CS$11),AB59,AC68+AD68))</f>
        <v>0</v>
      </c>
      <c r="L70" s="33"/>
      <c r="M70" s="33"/>
      <c r="N70" s="33"/>
      <c r="O70" s="33"/>
      <c r="P70" s="33"/>
      <c r="Q70" s="33"/>
      <c r="R70" s="33"/>
      <c r="S70" s="33"/>
      <c r="T70" s="33"/>
      <c r="U70" s="33"/>
      <c r="V70" s="33"/>
      <c r="W70" s="33"/>
      <c r="X70" s="995"/>
      <c r="Y70" s="995"/>
      <c r="Z70" s="992" t="str">
        <f>Y61</f>
        <v>FY 2024-25</v>
      </c>
      <c r="AA70" s="992"/>
      <c r="AB70" s="992">
        <f t="shared" si="120"/>
        <v>0</v>
      </c>
      <c r="AC70" s="994">
        <f t="shared" si="120"/>
        <v>0</v>
      </c>
      <c r="AD70" s="994"/>
      <c r="AE70" s="33"/>
      <c r="AF70" s="33"/>
      <c r="CN70">
        <v>67</v>
      </c>
      <c r="CP70" s="392">
        <v>121280</v>
      </c>
      <c r="CQ70" s="6"/>
      <c r="EO70" s="301" t="str">
        <f>EO62</f>
        <v>FY 2023-24</v>
      </c>
      <c r="EP70" s="8">
        <f>SUMIFS(EP$4:EP$55,$DK$4:$DK$55,"&gt;="&amp;EP62,$DK$4:$DK$55,"&lt;="&amp;EQ62)</f>
        <v>0</v>
      </c>
      <c r="EQ70" s="425">
        <f>SUMIFS(EQ$4:EQ$55,$DK$4:$DK$55,"&gt;="&amp;EP62,$DK$4:$DK$55,"&lt;="&amp;EQ62)</f>
        <v>0</v>
      </c>
      <c r="ER70" s="726">
        <f>EP70-EQ70</f>
        <v>0</v>
      </c>
      <c r="EU70" s="479">
        <f>SUM(EU67:EU69)</f>
        <v>0</v>
      </c>
      <c r="EV70" s="479">
        <f>SUM(EV67:EV69)</f>
        <v>0</v>
      </c>
      <c r="EW70" s="23">
        <f>EU70-EV70</f>
        <v>0</v>
      </c>
      <c r="EZ70" s="1"/>
      <c r="FA70" s="1"/>
      <c r="FB70" s="1"/>
    </row>
    <row r="71" spans="1:159" ht="21.4" customHeight="1" x14ac:dyDescent="0.25">
      <c r="A71" s="950">
        <v>13</v>
      </c>
      <c r="B71" s="950" t="s">
        <v>51</v>
      </c>
      <c r="C71" s="951" t="str">
        <f>'FORM 10E'!P75</f>
        <v>2023-24</v>
      </c>
      <c r="D71" s="381"/>
      <c r="E71" s="381"/>
      <c r="F71" s="8" t="s">
        <v>777</v>
      </c>
      <c r="G71" s="1008" t="s">
        <v>776</v>
      </c>
      <c r="H71" s="1008"/>
      <c r="I71" s="999" t="str">
        <f>C71</f>
        <v>2023-24</v>
      </c>
      <c r="J71" s="999"/>
      <c r="K71" s="1000">
        <f>IF(OR(D71="",D71=0),0,IF(NOT(M7=$CS$11),AB60,AC69+AD69))</f>
        <v>0</v>
      </c>
      <c r="L71" s="33"/>
      <c r="M71" s="33"/>
      <c r="N71" s="33"/>
      <c r="O71" s="33"/>
      <c r="P71" s="33"/>
      <c r="Q71" s="33"/>
      <c r="R71" s="33"/>
      <c r="S71" s="33"/>
      <c r="T71" s="33"/>
      <c r="U71" s="33"/>
      <c r="V71" s="33"/>
      <c r="W71" s="33"/>
      <c r="X71" s="995"/>
      <c r="Y71" s="995"/>
      <c r="Z71" s="994" t="s">
        <v>113</v>
      </c>
      <c r="AA71" s="994">
        <f>SUM(AA68:AA69)</f>
        <v>0</v>
      </c>
      <c r="AB71" s="994">
        <f>SUM(AB68:AB69)</f>
        <v>0</v>
      </c>
      <c r="AC71" s="994">
        <f>SUM(AC68:AC69)</f>
        <v>0</v>
      </c>
      <c r="AD71" s="994">
        <f>SUM(AD68:AD69)</f>
        <v>0</v>
      </c>
      <c r="AE71" s="33"/>
      <c r="AF71" s="33"/>
      <c r="CN71">
        <v>68</v>
      </c>
      <c r="CP71" s="392">
        <v>124380</v>
      </c>
      <c r="CQ71" s="6"/>
      <c r="EO71" s="301" t="str">
        <f>EO63</f>
        <v>FY 2024-25</v>
      </c>
      <c r="EP71" s="8">
        <f>SUMIFS(EP$4:EP$55,$DK$4:$DK$55,"&gt;="&amp;EP63,$DK$4:$DK$55,"&lt;="&amp;EQ63)</f>
        <v>0</v>
      </c>
      <c r="EQ71" s="425">
        <f>SUMIFS(EQ$4:EQ$55,$DK$4:$DK$55,"&gt;="&amp;EP63,$DK$4:$DK$55,"&lt;="&amp;EQ63)</f>
        <v>0</v>
      </c>
      <c r="ER71" s="726">
        <f>EP71-EQ71</f>
        <v>0</v>
      </c>
    </row>
    <row r="72" spans="1:159" ht="21.4" customHeight="1" x14ac:dyDescent="0.25">
      <c r="A72" s="950">
        <v>14</v>
      </c>
      <c r="B72" s="950" t="s">
        <v>51</v>
      </c>
      <c r="C72" s="951" t="str">
        <f>'FORM 10E'!P76</f>
        <v>2024-25</v>
      </c>
      <c r="D72" s="381"/>
      <c r="E72" s="381"/>
      <c r="F72" s="8" t="s">
        <v>777</v>
      </c>
      <c r="G72" s="1008" t="s">
        <v>776</v>
      </c>
      <c r="H72" s="1008"/>
      <c r="I72" s="999" t="str">
        <f>C72</f>
        <v>2024-25</v>
      </c>
      <c r="J72" s="995"/>
      <c r="K72" s="1000">
        <f>IF(OR(D72="",D72=0),0,IF(NOT(M8=$CS$11),AB61,AC70+AD70))</f>
        <v>0</v>
      </c>
      <c r="L72" s="33"/>
      <c r="M72" s="33"/>
      <c r="N72" s="33"/>
      <c r="O72" s="33"/>
      <c r="P72" s="33"/>
      <c r="Q72" s="33"/>
      <c r="R72" s="33"/>
      <c r="S72" s="33"/>
      <c r="T72" s="33"/>
      <c r="U72" s="33"/>
      <c r="V72" s="33"/>
      <c r="W72" s="33"/>
      <c r="X72" s="33"/>
      <c r="Y72" s="33"/>
      <c r="Z72" s="33"/>
      <c r="AA72" s="33"/>
      <c r="AB72" s="33"/>
      <c r="AC72" s="33"/>
      <c r="AD72" s="33"/>
      <c r="AE72" s="33"/>
      <c r="AF72" s="33"/>
      <c r="CN72">
        <v>69</v>
      </c>
      <c r="CP72" s="392">
        <v>127480</v>
      </c>
      <c r="CQ72" s="6"/>
      <c r="EO72" s="301" t="str">
        <f>EO64</f>
        <v>FY 2025-26</v>
      </c>
      <c r="EP72" s="8">
        <f>SUMIFS(EP$4:EP$55,$DK$4:$DK$55,"&gt;="&amp;EP64,$DK$4:$DK$55,"&lt;="&amp;EQ64)</f>
        <v>0</v>
      </c>
      <c r="EQ72" s="425">
        <f>SUMIFS(EQ$4:EQ$55,$DK$4:$DK$55,"&gt;="&amp;EP64,$DK$4:$DK$55,"&lt;="&amp;EQ64)</f>
        <v>0</v>
      </c>
      <c r="ER72" s="726">
        <f>EP72-EQ72</f>
        <v>0</v>
      </c>
    </row>
    <row r="73" spans="1:159" ht="21.4" customHeight="1" x14ac:dyDescent="0.25">
      <c r="A73" s="33"/>
      <c r="B73" s="33"/>
      <c r="C73" s="33"/>
      <c r="D73" s="33"/>
      <c r="E73" s="33"/>
      <c r="F73" s="33"/>
      <c r="G73" s="33"/>
      <c r="H73" s="33"/>
      <c r="I73" s="995"/>
      <c r="J73" s="995"/>
      <c r="K73" s="995"/>
      <c r="L73" s="33"/>
      <c r="M73" s="33"/>
      <c r="N73" s="33"/>
      <c r="O73" s="33"/>
      <c r="P73" s="33"/>
      <c r="Q73" s="33"/>
      <c r="R73" s="33"/>
      <c r="S73" s="33"/>
      <c r="T73" s="33"/>
      <c r="U73" s="33"/>
      <c r="V73" s="33"/>
      <c r="W73" s="33"/>
      <c r="X73" s="33"/>
      <c r="Y73" s="33"/>
      <c r="Z73" s="33"/>
      <c r="AA73" s="33"/>
      <c r="AB73" s="33"/>
      <c r="AC73" s="33"/>
      <c r="AD73" s="33"/>
      <c r="AE73" s="33"/>
      <c r="AF73" s="33"/>
      <c r="CN73">
        <v>70</v>
      </c>
      <c r="CP73" s="392">
        <v>130580</v>
      </c>
      <c r="CQ73" s="6"/>
    </row>
    <row r="74" spans="1:159" ht="21.4" customHeight="1" x14ac:dyDescent="0.25">
      <c r="A74" s="33"/>
      <c r="B74" s="33"/>
      <c r="C74" s="33"/>
      <c r="D74" s="33"/>
      <c r="E74" s="33"/>
      <c r="F74" s="33"/>
      <c r="G74" s="33"/>
      <c r="H74" s="33"/>
      <c r="I74" s="33"/>
      <c r="J74" s="33"/>
      <c r="K74" s="33"/>
      <c r="L74" s="33"/>
      <c r="M74" s="33"/>
      <c r="N74" s="33"/>
      <c r="O74" s="33"/>
      <c r="P74" s="33"/>
      <c r="Q74" s="33"/>
      <c r="R74" s="33"/>
      <c r="S74" s="33"/>
      <c r="T74" s="33"/>
      <c r="U74" s="33"/>
      <c r="V74" s="33"/>
      <c r="W74" s="33"/>
      <c r="X74" s="33"/>
      <c r="Y74" s="33"/>
      <c r="Z74" s="33"/>
      <c r="AA74" s="33"/>
      <c r="AB74" s="33"/>
      <c r="AC74" s="33"/>
      <c r="AD74" s="33"/>
      <c r="AE74" s="33"/>
      <c r="AF74" s="33"/>
      <c r="CN74">
        <v>71</v>
      </c>
      <c r="CP74" s="392">
        <v>133900</v>
      </c>
      <c r="CQ74" s="6"/>
    </row>
    <row r="75" spans="1:159" ht="18" customHeight="1" x14ac:dyDescent="0.25">
      <c r="A75" s="33"/>
      <c r="B75" s="33"/>
      <c r="C75" s="33"/>
      <c r="D75" s="33"/>
      <c r="E75" s="33"/>
      <c r="F75" s="33"/>
      <c r="G75" s="33"/>
      <c r="H75" s="33"/>
      <c r="I75" s="33"/>
      <c r="J75" s="33"/>
      <c r="K75" s="33"/>
      <c r="L75" s="33"/>
      <c r="M75" s="33"/>
      <c r="N75" s="33"/>
      <c r="O75" s="33"/>
      <c r="P75" s="33"/>
      <c r="Q75" s="33"/>
      <c r="R75" s="33"/>
      <c r="S75" s="33"/>
      <c r="T75" s="33"/>
      <c r="U75" s="33"/>
      <c r="V75" s="33"/>
      <c r="W75" s="33"/>
      <c r="X75" s="33"/>
      <c r="Y75" s="33"/>
      <c r="Z75" s="33"/>
      <c r="AA75" s="33"/>
      <c r="AB75" s="33"/>
      <c r="AC75" s="33"/>
      <c r="AD75" s="33"/>
      <c r="AE75" s="33"/>
      <c r="AF75" s="33"/>
      <c r="CN75">
        <v>72</v>
      </c>
      <c r="CP75" s="392">
        <v>137220</v>
      </c>
      <c r="CQ75" s="6"/>
      <c r="EO75" t="s">
        <v>1037</v>
      </c>
      <c r="EP75">
        <f>SUM(EP69:EP74)</f>
        <v>0</v>
      </c>
      <c r="EQ75">
        <f t="shared" ref="EQ75:ER75" si="121">SUM(EQ69:EQ74)</f>
        <v>0</v>
      </c>
      <c r="ER75">
        <f t="shared" si="121"/>
        <v>0</v>
      </c>
    </row>
    <row r="76" spans="1:159" ht="18" customHeight="1" x14ac:dyDescent="0.25">
      <c r="A76" s="33"/>
      <c r="B76" s="33"/>
      <c r="C76" s="33"/>
      <c r="D76" s="33"/>
      <c r="E76" s="33"/>
      <c r="F76" s="33"/>
      <c r="G76" s="33"/>
      <c r="H76" s="33"/>
      <c r="I76" s="33"/>
      <c r="J76" s="33"/>
      <c r="K76" s="33"/>
      <c r="L76" s="33"/>
      <c r="M76" s="33"/>
      <c r="N76" s="33"/>
      <c r="O76" s="33"/>
      <c r="P76" s="33"/>
      <c r="Q76" s="33"/>
      <c r="R76" s="33"/>
      <c r="S76" s="33"/>
      <c r="T76" s="33"/>
      <c r="U76" s="33"/>
      <c r="V76" s="33"/>
      <c r="W76" s="33"/>
      <c r="X76" s="33"/>
      <c r="Y76" s="33"/>
      <c r="Z76" s="33"/>
      <c r="AA76" s="33"/>
      <c r="AB76" s="33"/>
      <c r="AC76" s="33"/>
      <c r="AD76" s="33"/>
      <c r="AE76" s="33"/>
      <c r="AF76" s="33"/>
      <c r="CN76">
        <v>73</v>
      </c>
      <c r="CP76" s="392">
        <v>140540</v>
      </c>
      <c r="CQ76" s="6"/>
      <c r="ET76" s="18"/>
    </row>
    <row r="77" spans="1:159" ht="18" customHeight="1" x14ac:dyDescent="0.25">
      <c r="A77" s="33"/>
      <c r="B77" s="33"/>
      <c r="C77" s="33"/>
      <c r="D77" s="33"/>
      <c r="E77" s="33"/>
      <c r="F77" s="33"/>
      <c r="G77" s="33"/>
      <c r="H77" s="33"/>
      <c r="I77" s="33"/>
      <c r="J77" s="33"/>
      <c r="K77" s="33"/>
      <c r="L77" s="33"/>
      <c r="M77" s="33"/>
      <c r="N77" s="33"/>
      <c r="O77" s="33"/>
      <c r="P77" s="33"/>
      <c r="Q77" s="33"/>
      <c r="R77" s="33"/>
      <c r="S77" s="33"/>
      <c r="T77" s="33"/>
      <c r="U77" s="33"/>
      <c r="V77" s="33"/>
      <c r="W77" s="33"/>
      <c r="X77" s="33"/>
      <c r="Y77" s="33"/>
      <c r="Z77" s="33"/>
      <c r="AA77" s="33"/>
      <c r="AB77" s="33"/>
      <c r="AC77" s="33"/>
      <c r="AD77" s="33"/>
      <c r="AE77" s="33"/>
      <c r="AF77" s="33"/>
      <c r="CN77">
        <v>74</v>
      </c>
      <c r="CP77" s="392">
        <v>144150</v>
      </c>
      <c r="CQ77" s="6"/>
      <c r="EO77" s="18" t="s">
        <v>1037</v>
      </c>
      <c r="EP77" s="479">
        <f>EP68</f>
        <v>0</v>
      </c>
      <c r="EQ77" s="815">
        <f>EQ68</f>
        <v>0</v>
      </c>
      <c r="ER77" s="726">
        <f>EP77-EQ77</f>
        <v>0</v>
      </c>
      <c r="EU77" s="8" t="s">
        <v>615</v>
      </c>
      <c r="EV77" s="537" t="s">
        <v>687</v>
      </c>
      <c r="EW77" s="537" t="s">
        <v>688</v>
      </c>
      <c r="EZ77" s="8" t="s">
        <v>615</v>
      </c>
      <c r="FA77" s="537" t="s">
        <v>687</v>
      </c>
      <c r="FB77" s="537" t="s">
        <v>688</v>
      </c>
    </row>
    <row r="78" spans="1:159" ht="18" customHeight="1" x14ac:dyDescent="0.25">
      <c r="A78" s="33"/>
      <c r="B78" s="33"/>
      <c r="C78" s="33"/>
      <c r="D78" s="33"/>
      <c r="E78" s="33"/>
      <c r="F78" s="33"/>
      <c r="G78" s="33"/>
      <c r="H78" s="33"/>
      <c r="I78" s="33"/>
      <c r="J78" s="33"/>
      <c r="K78" s="33"/>
      <c r="L78" s="33"/>
      <c r="M78" s="33"/>
      <c r="N78" s="33"/>
      <c r="O78" s="33"/>
      <c r="P78" s="33"/>
      <c r="Q78" s="33"/>
      <c r="R78" s="33"/>
      <c r="S78" s="33"/>
      <c r="T78" s="33"/>
      <c r="U78" s="33"/>
      <c r="V78" s="33"/>
      <c r="W78" s="33"/>
      <c r="X78" s="33"/>
      <c r="Y78" s="33"/>
      <c r="Z78" s="33"/>
      <c r="AA78" s="33"/>
      <c r="AB78" s="33"/>
      <c r="AC78" s="33"/>
      <c r="AD78" s="33"/>
      <c r="AE78" s="33"/>
      <c r="AF78" s="33"/>
      <c r="CN78">
        <v>75</v>
      </c>
      <c r="CP78" s="392">
        <v>147760</v>
      </c>
      <c r="CQ78" s="6"/>
      <c r="EO78" s="18"/>
      <c r="EP78" s="8" t="s">
        <v>615</v>
      </c>
      <c r="EQ78" s="537" t="s">
        <v>687</v>
      </c>
      <c r="ER78" s="537" t="s">
        <v>688</v>
      </c>
      <c r="EU78" s="8">
        <f>IF($ET$57=$AR$44,0,EU70)</f>
        <v>0</v>
      </c>
      <c r="EV78" s="8">
        <f>IF(OR($ET$57=$AR$44,EU78=0),0,IF($EQ$58=1,EV70,EU70))</f>
        <v>0</v>
      </c>
      <c r="EW78" s="8">
        <f>EU78-EV78</f>
        <v>0</v>
      </c>
      <c r="EZ78" s="8">
        <v>0</v>
      </c>
      <c r="FA78" s="8"/>
      <c r="FB78" s="8"/>
      <c r="FC78" s="481">
        <v>0.9</v>
      </c>
    </row>
    <row r="79" spans="1:159" ht="18" customHeight="1" x14ac:dyDescent="0.25">
      <c r="A79" s="33"/>
      <c r="B79" s="33"/>
      <c r="C79" s="33"/>
      <c r="D79" s="33"/>
      <c r="E79" s="33"/>
      <c r="F79" s="33"/>
      <c r="G79" s="33"/>
      <c r="H79" s="33"/>
      <c r="I79" s="33"/>
      <c r="J79" s="33"/>
      <c r="K79" s="33"/>
      <c r="L79" s="33"/>
      <c r="M79" s="33"/>
      <c r="N79" s="33"/>
      <c r="O79" s="33"/>
      <c r="P79" s="33"/>
      <c r="Q79" s="33"/>
      <c r="R79" s="33"/>
      <c r="S79" s="33"/>
      <c r="T79" s="33"/>
      <c r="U79" s="33"/>
      <c r="V79" s="33"/>
      <c r="W79" s="33"/>
      <c r="X79" s="33"/>
      <c r="Y79" s="33"/>
      <c r="Z79" s="33"/>
      <c r="AA79" s="33"/>
      <c r="AB79" s="33"/>
      <c r="AC79" s="33"/>
      <c r="AD79" s="33"/>
      <c r="AE79" s="33"/>
      <c r="AF79" s="33"/>
      <c r="CN79">
        <v>76</v>
      </c>
      <c r="CP79" s="392">
        <v>151370</v>
      </c>
      <c r="CQ79" s="6"/>
      <c r="EO79" s="18" t="str">
        <f>"DA Arrears "&amp;EO58</f>
        <v>DA Arrears DA@37.31</v>
      </c>
      <c r="EP79" s="8">
        <f>IF($EO$57=$K$40,0,EP77)</f>
        <v>0</v>
      </c>
      <c r="EQ79" s="8">
        <f>IF(OR($EO$57=$K$40,EP79=0),0,IF($EQ$58=1,EQ77,EP77))</f>
        <v>0</v>
      </c>
      <c r="ER79" s="8">
        <f>EP79-EQ79</f>
        <v>0</v>
      </c>
    </row>
    <row r="80" spans="1:159" ht="18" customHeight="1" x14ac:dyDescent="0.25">
      <c r="CN80" s="22">
        <v>77</v>
      </c>
      <c r="CO80" s="22"/>
      <c r="CP80" s="984">
        <v>154980</v>
      </c>
      <c r="CQ80" s="6"/>
    </row>
    <row r="81" spans="92:145" ht="18" customHeight="1" x14ac:dyDescent="0.25">
      <c r="CN81" s="22">
        <v>78</v>
      </c>
      <c r="CO81" s="22"/>
      <c r="CP81" s="984">
        <v>158880</v>
      </c>
      <c r="CQ81" s="6"/>
    </row>
    <row r="82" spans="92:145" ht="18" customHeight="1" x14ac:dyDescent="0.25">
      <c r="CN82" s="22">
        <v>79</v>
      </c>
      <c r="CO82" s="22"/>
      <c r="CP82" s="984">
        <v>162780</v>
      </c>
      <c r="CQ82" s="6"/>
    </row>
    <row r="83" spans="92:145" ht="18" customHeight="1" x14ac:dyDescent="0.25">
      <c r="CN83" s="22">
        <v>80</v>
      </c>
      <c r="CO83" s="22"/>
      <c r="CP83" s="984">
        <v>166680</v>
      </c>
      <c r="CQ83" s="6"/>
      <c r="EO83" s="18"/>
    </row>
    <row r="84" spans="92:145" ht="18" customHeight="1" x14ac:dyDescent="0.25">
      <c r="CN84" s="22">
        <v>81</v>
      </c>
      <c r="CO84" s="22"/>
      <c r="CP84" s="984">
        <v>170580</v>
      </c>
      <c r="CQ84" s="6"/>
    </row>
    <row r="85" spans="92:145" ht="18" customHeight="1" x14ac:dyDescent="0.25">
      <c r="CN85" s="22">
        <v>82</v>
      </c>
      <c r="CO85" s="22"/>
      <c r="CP85" s="985">
        <v>174790</v>
      </c>
    </row>
    <row r="86" spans="92:145" ht="18" customHeight="1" x14ac:dyDescent="0.25">
      <c r="CN86" s="22">
        <v>83</v>
      </c>
      <c r="CO86" s="22"/>
      <c r="CP86" s="985">
        <v>179000</v>
      </c>
    </row>
    <row r="87" spans="92:145" ht="18" customHeight="1" x14ac:dyDescent="0.25">
      <c r="CN87" s="22">
        <v>84</v>
      </c>
      <c r="CO87" s="22"/>
      <c r="CP87" s="985">
        <v>183210</v>
      </c>
    </row>
    <row r="88" spans="92:145" ht="18" customHeight="1" x14ac:dyDescent="0.25">
      <c r="CN88" s="22">
        <v>85</v>
      </c>
      <c r="CO88" s="22"/>
      <c r="CP88" s="985">
        <v>187420</v>
      </c>
    </row>
    <row r="89" spans="92:145" ht="18" customHeight="1" x14ac:dyDescent="0.25">
      <c r="CN89" s="22">
        <v>86</v>
      </c>
      <c r="CO89" s="22"/>
      <c r="CP89" s="985">
        <v>191630</v>
      </c>
    </row>
    <row r="90" spans="92:145" ht="18" customHeight="1" x14ac:dyDescent="0.25">
      <c r="CN90" s="22">
        <v>87</v>
      </c>
      <c r="CO90" s="22"/>
      <c r="CP90" s="22">
        <v>195840</v>
      </c>
    </row>
    <row r="91" spans="92:145" ht="18" customHeight="1" x14ac:dyDescent="0.25">
      <c r="CN91" s="22">
        <v>88</v>
      </c>
      <c r="CO91" s="22"/>
      <c r="CP91" s="22">
        <v>200050</v>
      </c>
    </row>
    <row r="92" spans="92:145" ht="18" customHeight="1" x14ac:dyDescent="0.25">
      <c r="CN92" s="22">
        <v>89</v>
      </c>
      <c r="CO92" s="22"/>
      <c r="CP92" s="22">
        <v>200050</v>
      </c>
    </row>
    <row r="93" spans="92:145" ht="18" customHeight="1" x14ac:dyDescent="0.25"/>
    <row r="94" spans="92:145" ht="18" customHeight="1" x14ac:dyDescent="0.25"/>
    <row r="95" spans="92:145" ht="18" customHeight="1" x14ac:dyDescent="0.25"/>
    <row r="96" spans="92:145" ht="18" customHeight="1" x14ac:dyDescent="0.25"/>
    <row r="97" spans="19:19" ht="18" customHeight="1" x14ac:dyDescent="0.25"/>
    <row r="98" spans="19:19" ht="18" customHeight="1" x14ac:dyDescent="0.25"/>
    <row r="99" spans="19:19" ht="18" customHeight="1" x14ac:dyDescent="0.25"/>
    <row r="100" spans="19:19" ht="18" customHeight="1" x14ac:dyDescent="0.25"/>
    <row r="101" spans="19:19" ht="18" customHeight="1" x14ac:dyDescent="0.25"/>
    <row r="102" spans="19:19" ht="24" customHeight="1" x14ac:dyDescent="0.25"/>
    <row r="103" spans="19:19" ht="24" customHeight="1" x14ac:dyDescent="0.25"/>
    <row r="104" spans="19:19" ht="24" customHeight="1" x14ac:dyDescent="0.25"/>
    <row r="105" spans="19:19" ht="18" customHeight="1" x14ac:dyDescent="0.25"/>
    <row r="106" spans="19:19" ht="18" customHeight="1" x14ac:dyDescent="0.25">
      <c r="S106" s="510"/>
    </row>
    <row r="107" spans="19:19" ht="18" customHeight="1" x14ac:dyDescent="0.25"/>
    <row r="108" spans="19:19" ht="18" customHeight="1" x14ac:dyDescent="0.25"/>
    <row r="109" spans="19:19" ht="18" customHeight="1" x14ac:dyDescent="0.25"/>
    <row r="110" spans="19:19" ht="18" customHeight="1" x14ac:dyDescent="0.25"/>
    <row r="111" spans="19:19" ht="18" customHeight="1" x14ac:dyDescent="0.25"/>
    <row r="112" spans="19:19" ht="18" customHeight="1" x14ac:dyDescent="0.25"/>
    <row r="113" ht="18" customHeight="1" x14ac:dyDescent="0.25"/>
    <row r="114" ht="18" customHeight="1" x14ac:dyDescent="0.25"/>
    <row r="115" ht="18" customHeight="1" x14ac:dyDescent="0.25"/>
    <row r="116" ht="18" customHeight="1" x14ac:dyDescent="0.25"/>
    <row r="117" ht="18" customHeight="1" x14ac:dyDescent="0.25"/>
    <row r="118" ht="18" customHeight="1" x14ac:dyDescent="0.25"/>
    <row r="119" ht="18" customHeight="1" x14ac:dyDescent="0.25"/>
    <row r="120" ht="18" customHeight="1" x14ac:dyDescent="0.25"/>
    <row r="121" ht="18" customHeight="1" x14ac:dyDescent="0.25"/>
    <row r="122" ht="18" customHeight="1" x14ac:dyDescent="0.25"/>
    <row r="123" ht="18" customHeight="1" x14ac:dyDescent="0.25"/>
    <row r="124" ht="18" customHeight="1" x14ac:dyDescent="0.25"/>
    <row r="125" ht="18" customHeight="1" x14ac:dyDescent="0.25"/>
    <row r="126" ht="18" customHeight="1" x14ac:dyDescent="0.25"/>
    <row r="127" ht="18" customHeight="1" x14ac:dyDescent="0.25"/>
    <row r="128" ht="18" customHeight="1" x14ac:dyDescent="0.25"/>
    <row r="129" ht="18" customHeight="1" x14ac:dyDescent="0.25"/>
    <row r="130" ht="18" customHeight="1" x14ac:dyDescent="0.25"/>
    <row r="131" ht="18" customHeight="1" x14ac:dyDescent="0.25"/>
    <row r="132" ht="18" customHeight="1" x14ac:dyDescent="0.25"/>
    <row r="133" ht="18" customHeight="1" x14ac:dyDescent="0.25"/>
    <row r="134" ht="18" customHeight="1" x14ac:dyDescent="0.25"/>
    <row r="135" ht="18" customHeight="1" x14ac:dyDescent="0.25"/>
    <row r="136" ht="18" customHeight="1" x14ac:dyDescent="0.25"/>
  </sheetData>
  <sheetProtection algorithmName="SHA-512" hashValue="/Q9CSqK+lNCR6XegNOEYGP/CP5CFe/689G5didL+Wh84jWaxpBSZehX+XDce9NQahVEzDPMqNt7j+49iHklvwA==" saltValue="6mK8f/Xw9mvjuXRk57dX9g==" spinCount="100000" sheet="1" objects="1" scenarios="1" formatRows="0" autoFilter="0"/>
  <mergeCells count="151">
    <mergeCell ref="K4:L4"/>
    <mergeCell ref="B23:H23"/>
    <mergeCell ref="B24:H24"/>
    <mergeCell ref="K16:L16"/>
    <mergeCell ref="K15:L15"/>
    <mergeCell ref="K13:L13"/>
    <mergeCell ref="K19:L19"/>
    <mergeCell ref="P38:P39"/>
    <mergeCell ref="B19:D19"/>
    <mergeCell ref="B17:H17"/>
    <mergeCell ref="K6:L6"/>
    <mergeCell ref="B12:D12"/>
    <mergeCell ref="B13:D13"/>
    <mergeCell ref="B6:D6"/>
    <mergeCell ref="E6:I6"/>
    <mergeCell ref="E7:I7"/>
    <mergeCell ref="E8:I8"/>
    <mergeCell ref="E9:I9"/>
    <mergeCell ref="E10:I10"/>
    <mergeCell ref="E11:I11"/>
    <mergeCell ref="B21:H21"/>
    <mergeCell ref="B18:D18"/>
    <mergeCell ref="F18:H18"/>
    <mergeCell ref="Z4:Z5"/>
    <mergeCell ref="Q1:R11"/>
    <mergeCell ref="Q12:R13"/>
    <mergeCell ref="Q16:R18"/>
    <mergeCell ref="X3:AA3"/>
    <mergeCell ref="Q21:R22"/>
    <mergeCell ref="Q23:R24"/>
    <mergeCell ref="Q25:R26"/>
    <mergeCell ref="Q27:R28"/>
    <mergeCell ref="Q14:R15"/>
    <mergeCell ref="X4:Y4"/>
    <mergeCell ref="Q19:R20"/>
    <mergeCell ref="A54:B54"/>
    <mergeCell ref="A52:B53"/>
    <mergeCell ref="K46:L46"/>
    <mergeCell ref="K47:L47"/>
    <mergeCell ref="A51:B51"/>
    <mergeCell ref="H49:I49"/>
    <mergeCell ref="Q54:R54"/>
    <mergeCell ref="K49:O50"/>
    <mergeCell ref="M46:O46"/>
    <mergeCell ref="Q50:R50"/>
    <mergeCell ref="Q51:R51"/>
    <mergeCell ref="A49:G49"/>
    <mergeCell ref="Q52:R52"/>
    <mergeCell ref="Q53:R53"/>
    <mergeCell ref="G45:G47"/>
    <mergeCell ref="A45:E48"/>
    <mergeCell ref="Q45:R46"/>
    <mergeCell ref="Q47:R47"/>
    <mergeCell ref="M47:O47"/>
    <mergeCell ref="G48:H48"/>
    <mergeCell ref="Q48:R49"/>
    <mergeCell ref="AR38:AS38"/>
    <mergeCell ref="K32:L32"/>
    <mergeCell ref="K38:O38"/>
    <mergeCell ref="K44:L44"/>
    <mergeCell ref="K45:L45"/>
    <mergeCell ref="K37:L37"/>
    <mergeCell ref="AR39:AS39"/>
    <mergeCell ref="N44:O44"/>
    <mergeCell ref="Q35:R36"/>
    <mergeCell ref="K35:L35"/>
    <mergeCell ref="AR37:AS37"/>
    <mergeCell ref="Q29:R30"/>
    <mergeCell ref="Q31:R32"/>
    <mergeCell ref="Q33:R34"/>
    <mergeCell ref="Q37:R38"/>
    <mergeCell ref="Q43:R44"/>
    <mergeCell ref="Q40:R40"/>
    <mergeCell ref="K31:L31"/>
    <mergeCell ref="K33:L33"/>
    <mergeCell ref="A27:A33"/>
    <mergeCell ref="G39:G41"/>
    <mergeCell ref="B36:D36"/>
    <mergeCell ref="F34:F35"/>
    <mergeCell ref="K3:O3"/>
    <mergeCell ref="B20:H20"/>
    <mergeCell ref="K21:L21"/>
    <mergeCell ref="K27:L27"/>
    <mergeCell ref="K28:L28"/>
    <mergeCell ref="K22:L22"/>
    <mergeCell ref="K25:L25"/>
    <mergeCell ref="K26:L26"/>
    <mergeCell ref="B5:C5"/>
    <mergeCell ref="K14:L14"/>
    <mergeCell ref="K5:L5"/>
    <mergeCell ref="K10:L10"/>
    <mergeCell ref="K11:L11"/>
    <mergeCell ref="K9:L9"/>
    <mergeCell ref="A4:D4"/>
    <mergeCell ref="H4:I4"/>
    <mergeCell ref="K7:L7"/>
    <mergeCell ref="B10:D10"/>
    <mergeCell ref="B11:D11"/>
    <mergeCell ref="K23:L23"/>
    <mergeCell ref="E13:I13"/>
    <mergeCell ref="K20:L20"/>
    <mergeCell ref="B27:H27"/>
    <mergeCell ref="E12:I12"/>
    <mergeCell ref="G64:H67"/>
    <mergeCell ref="K8:L8"/>
    <mergeCell ref="B25:H25"/>
    <mergeCell ref="B26:H26"/>
    <mergeCell ref="D57:D58"/>
    <mergeCell ref="E57:E58"/>
    <mergeCell ref="B57:C58"/>
    <mergeCell ref="B22:H22"/>
    <mergeCell ref="K18:L18"/>
    <mergeCell ref="K17:L17"/>
    <mergeCell ref="K36:L36"/>
    <mergeCell ref="K30:L30"/>
    <mergeCell ref="A56:D56"/>
    <mergeCell ref="A57:A58"/>
    <mergeCell ref="B14:D14"/>
    <mergeCell ref="F19:H19"/>
    <mergeCell ref="G36:G38"/>
    <mergeCell ref="A34:E34"/>
    <mergeCell ref="A35:A44"/>
    <mergeCell ref="A12:A15"/>
    <mergeCell ref="A16:A19"/>
    <mergeCell ref="A5:A11"/>
    <mergeCell ref="A20:A26"/>
    <mergeCell ref="G42:G44"/>
    <mergeCell ref="G72:H72"/>
    <mergeCell ref="A3:D3"/>
    <mergeCell ref="E3:G3"/>
    <mergeCell ref="AB3:AD3"/>
    <mergeCell ref="Z66:AD66"/>
    <mergeCell ref="X57:X61"/>
    <mergeCell ref="X2:AD2"/>
    <mergeCell ref="G68:H68"/>
    <mergeCell ref="G69:H69"/>
    <mergeCell ref="G70:H70"/>
    <mergeCell ref="E5:I5"/>
    <mergeCell ref="E14:I14"/>
    <mergeCell ref="B16:H16"/>
    <mergeCell ref="E15:I15"/>
    <mergeCell ref="B7:D7"/>
    <mergeCell ref="B8:D8"/>
    <mergeCell ref="B9:D9"/>
    <mergeCell ref="B28:H28"/>
    <mergeCell ref="B29:H29"/>
    <mergeCell ref="B30:H30"/>
    <mergeCell ref="B31:H31"/>
    <mergeCell ref="B32:H32"/>
    <mergeCell ref="B33:H33"/>
    <mergeCell ref="G71:H71"/>
  </mergeCells>
  <phoneticPr fontId="7" type="noConversion"/>
  <conditionalFormatting sqref="A57:E72 G64:H71 F68:F71 F72:H72">
    <cfRule type="expression" dxfId="43" priority="456">
      <formula>$E$56="No"</formula>
    </cfRule>
  </conditionalFormatting>
  <conditionalFormatting sqref="C52:O52">
    <cfRule type="expression" dxfId="42" priority="447">
      <formula>AND(NOT(C$52=""),C$53="")</formula>
    </cfRule>
  </conditionalFormatting>
  <conditionalFormatting sqref="C52:O54">
    <cfRule type="expression" dxfId="41" priority="448">
      <formula>C$51="NA"</formula>
    </cfRule>
  </conditionalFormatting>
  <conditionalFormatting sqref="F4:G4">
    <cfRule type="expression" dxfId="40" priority="452">
      <formula>$E$4="NA"</formula>
    </cfRule>
  </conditionalFormatting>
  <conditionalFormatting sqref="K23:O23">
    <cfRule type="expression" dxfId="39" priority="413">
      <formula>$M$7="CPS"</formula>
    </cfRule>
  </conditionalFormatting>
  <conditionalFormatting sqref="K51:O54">
    <cfRule type="expression" dxfId="38" priority="3">
      <formula>OR($I$51="",$I$51="NA")</formula>
    </cfRule>
  </conditionalFormatting>
  <conditionalFormatting sqref="M12">
    <cfRule type="expression" dxfId="37" priority="121">
      <formula>$L$12="NA"</formula>
    </cfRule>
  </conditionalFormatting>
  <conditionalFormatting sqref="M13">
    <cfRule type="expression" dxfId="36" priority="43">
      <formula>AND(MOD(ROW(),2)=0,#REF!&lt;&gt;"")</formula>
    </cfRule>
  </conditionalFormatting>
  <conditionalFormatting sqref="M39:M42">
    <cfRule type="expression" dxfId="35" priority="4">
      <formula>NOT($BD$42=1)</formula>
    </cfRule>
  </conditionalFormatting>
  <conditionalFormatting sqref="M48:O48">
    <cfRule type="expression" dxfId="34" priority="426">
      <formula>$L$48=""</formula>
    </cfRule>
  </conditionalFormatting>
  <conditionalFormatting sqref="N13">
    <cfRule type="expression" dxfId="33" priority="437">
      <formula>AND(MOD(ROW(),2)=0,$M14&lt;&gt;"")</formula>
    </cfRule>
  </conditionalFormatting>
  <conditionalFormatting sqref="N15:N21">
    <cfRule type="expression" dxfId="32" priority="376">
      <formula>$N$13=""</formula>
    </cfRule>
  </conditionalFormatting>
  <conditionalFormatting sqref="N35">
    <cfRule type="expression" dxfId="31" priority="443">
      <formula>$M$35="NA"</formula>
    </cfRule>
    <cfRule type="expression" dxfId="30" priority="444">
      <formula>N$35="NA"</formula>
    </cfRule>
  </conditionalFormatting>
  <conditionalFormatting sqref="N36">
    <cfRule type="expression" dxfId="29" priority="9">
      <formula>$M$36="NA"</formula>
    </cfRule>
    <cfRule type="expression" dxfId="28" priority="270">
      <formula>#REF!="NA"</formula>
    </cfRule>
  </conditionalFormatting>
  <conditionalFormatting sqref="N37">
    <cfRule type="expression" dxfId="27" priority="445">
      <formula>M$37="NA"</formula>
    </cfRule>
  </conditionalFormatting>
  <conditionalFormatting sqref="N44 M45:O45 K45:K47 M46:M47 K48:O48">
    <cfRule type="expression" dxfId="26" priority="428">
      <formula>$M$44=$BF$13</formula>
    </cfRule>
  </conditionalFormatting>
  <conditionalFormatting sqref="N5:O7">
    <cfRule type="expression" dxfId="25" priority="125">
      <formula>OR($O$4="No",$O$4="")</formula>
    </cfRule>
  </conditionalFormatting>
  <conditionalFormatting sqref="N7:O7">
    <cfRule type="expression" dxfId="24" priority="126">
      <formula>OR($O$6="No",$O$6="")</formula>
    </cfRule>
  </conditionalFormatting>
  <conditionalFormatting sqref="N9:O11">
    <cfRule type="expression" dxfId="23" priority="127">
      <formula>OR($O$8="No",$O$8="")</formula>
    </cfRule>
  </conditionalFormatting>
  <conditionalFormatting sqref="N11:O11">
    <cfRule type="expression" dxfId="22" priority="128">
      <formula>OR(NOT($CS$3=3),$O$10="")</formula>
    </cfRule>
  </conditionalFormatting>
  <conditionalFormatting sqref="N12:O12">
    <cfRule type="expression" dxfId="21" priority="414">
      <formula>$L$12="NA"</formula>
    </cfRule>
  </conditionalFormatting>
  <conditionalFormatting sqref="O5 O9">
    <cfRule type="expression" dxfId="20" priority="46">
      <formula>AND(MOD(ROW(),2)=0,#REF!&lt;&gt;"")</formula>
    </cfRule>
  </conditionalFormatting>
  <conditionalFormatting sqref="O13">
    <cfRule type="expression" dxfId="19" priority="129">
      <formula>AND($N$13="",$O$13="")</formula>
    </cfRule>
  </conditionalFormatting>
  <conditionalFormatting sqref="O14">
    <cfRule type="expression" dxfId="18" priority="11">
      <formula>$N$13=""</formula>
    </cfRule>
  </conditionalFormatting>
  <conditionalFormatting sqref="O15:O21">
    <cfRule type="expression" dxfId="17" priority="375">
      <formula>$O$13=""</formula>
    </cfRule>
  </conditionalFormatting>
  <conditionalFormatting sqref="P38:P40 N39:O42">
    <cfRule type="expression" dxfId="16" priority="5">
      <formula>NOT($BD$42=2)</formula>
    </cfRule>
  </conditionalFormatting>
  <conditionalFormatting sqref="P38:P40">
    <cfRule type="expression" dxfId="15" priority="1">
      <formula>$K$40="N.A"</formula>
    </cfRule>
  </conditionalFormatting>
  <conditionalFormatting sqref="AU39">
    <cfRule type="expression" dxfId="14" priority="146">
      <formula>$AT$39="NA"</formula>
    </cfRule>
    <cfRule type="expression" dxfId="13" priority="173">
      <formula>#REF!="NA"</formula>
    </cfRule>
  </conditionalFormatting>
  <dataValidations count="38">
    <dataValidation type="list" allowBlank="1" showInputMessage="1" showErrorMessage="1" sqref="O48 M4 O23:O28 AT37:AT38 M30:M33" xr:uid="{98FCBF92-86B5-4CE4-90DD-5A86F132098D}">
      <formula1>FYMONTH</formula1>
    </dataValidation>
    <dataValidation type="list" allowBlank="1" showInputMessage="1" showErrorMessage="1" sqref="O11" xr:uid="{9543919D-ADA7-4AE9-8FED-30BD6FB2190F}">
      <formula1>$CP$4:$CP$84</formula1>
    </dataValidation>
    <dataValidation type="list" allowBlank="1" showInputMessage="1" showErrorMessage="1" sqref="M6" xr:uid="{87F92F3C-C3F7-419C-A032-B6410544D5CC}">
      <formula1>$CU$3:$CU$15</formula1>
    </dataValidation>
    <dataValidation type="list" allowBlank="1" showInputMessage="1" showErrorMessage="1" sqref="O10" xr:uid="{8C5349C0-FF36-44BF-897C-118366403A91}">
      <formula1>$CS$4:$CS$6</formula1>
    </dataValidation>
    <dataValidation type="list" allowBlank="1" showInputMessage="1" showErrorMessage="1" sqref="O7" xr:uid="{BF5610D6-0B2E-4AB2-990A-BD1E484515B0}">
      <formula1>_BP</formula1>
    </dataValidation>
    <dataValidation type="custom" allowBlank="1" showInputMessage="1" showErrorMessage="1" error="date format( dot must between as shown below)_x000a_DD.MM.YYYY_x000a_like  01.07.2019" sqref="O5 O9 N13:O13" xr:uid="{DFC98367-475C-473D-B229-0590B27F8025}">
      <formula1>AND(LEN(N5)=10,LEN(N5)=LEN(SUBSTITUTE(N5," ","")))</formula1>
    </dataValidation>
    <dataValidation type="list" allowBlank="1" showInputMessage="1" showErrorMessage="1" sqref="O6 M18:O18 O8 O4 E56" xr:uid="{87FCD649-B70B-40AC-917C-096DB8831534}">
      <formula1>$CS$8:$CS$9</formula1>
    </dataValidation>
    <dataValidation type="list" allowBlank="1" showInputMessage="1" showErrorMessage="1" sqref="M7" xr:uid="{F5455D72-96F1-4C4C-84DC-3E90F19964D4}">
      <formula1>PFTYPE</formula1>
    </dataValidation>
    <dataValidation type="list" allowBlank="1" showInputMessage="1" showErrorMessage="1" sqref="M44" xr:uid="{2F6315A4-C5DF-4F11-932A-6DD466F36CAB}">
      <formula1>HouseType</formula1>
    </dataValidation>
    <dataValidation type="list" allowBlank="1" showInputMessage="1" showErrorMessage="1" sqref="B21:B25" xr:uid="{4FCA18C0-A2F9-4F45-BCCE-9CB6D2A2EA91}">
      <formula1>_80c</formula1>
    </dataValidation>
    <dataValidation type="list" allowBlank="1" showInputMessage="1" showErrorMessage="1" sqref="B29:B32" xr:uid="{D2C8FE2B-E084-4D31-A3E0-4320455E3A4B}">
      <formula1>_Othersections</formula1>
    </dataValidation>
    <dataValidation type="list" allowBlank="1" showInputMessage="1" showErrorMessage="1" sqref="B28:H28" xr:uid="{381CD17C-9EEF-4918-BA72-AA9386937160}">
      <formula1>HOUSELOAN</formula1>
    </dataValidation>
    <dataValidation type="list" allowBlank="1" showInputMessage="1" showErrorMessage="1" sqref="O16 M16" xr:uid="{D2E422ED-083A-42FF-BD99-169944C64300}">
      <formula1>$FY$10:$GB$10</formula1>
    </dataValidation>
    <dataValidation type="list" allowBlank="1" showInputMessage="1" showErrorMessage="1" sqref="K40" xr:uid="{A7440846-CEAE-4503-82E4-22F2753B15E1}">
      <formula1>$EO$57:$EO$58</formula1>
    </dataValidation>
    <dataValidation type="list" allowBlank="1" showInputMessage="1" showErrorMessage="1" sqref="E4" xr:uid="{D4DB59EA-5B58-4DF0-A130-C3DE4E6D6820}">
      <formula1>$CN$3:$CN$33</formula1>
    </dataValidation>
    <dataValidation type="list" allowBlank="1" showInputMessage="1" showErrorMessage="1" sqref="F4" xr:uid="{F37D7AA8-421E-489B-95DF-1E528F6BA999}">
      <formula1>$CN$4:$CN$15</formula1>
    </dataValidation>
    <dataValidation type="list" allowBlank="1" showInputMessage="1" showErrorMessage="1" sqref="L12" xr:uid="{7C146C9E-4324-40D2-9582-EA28DED011C0}">
      <formula1>$CK$6:$CK$7</formula1>
    </dataValidation>
    <dataValidation type="list" allowBlank="1" showInputMessage="1" showErrorMessage="1" sqref="M12" xr:uid="{75E4650D-A8BE-4963-BDEB-F170A28CAF6F}">
      <formula1>$CL$6:$CL$8</formula1>
    </dataValidation>
    <dataValidation type="list" allowBlank="1" showInputMessage="1" showErrorMessage="1" sqref="L24" xr:uid="{1B1C4DE3-12E0-49F2-A0C0-18B56989BD40}">
      <formula1>"TSGLI,APGLI,GSLI"</formula1>
    </dataValidation>
    <dataValidation type="list" allowBlank="1" showInputMessage="1" showErrorMessage="1" sqref="M5" xr:uid="{E4C90C2D-3674-41E3-885E-5DEE7FA41E58}">
      <formula1>$CP$4:$CP$92</formula1>
    </dataValidation>
    <dataValidation type="list" allowBlank="1" showInputMessage="1" showErrorMessage="1" sqref="AR44" xr:uid="{59AE5AC4-CCE8-4E70-93B9-A0116E0D0DD0}">
      <formula1>$ET$57:$ET$58</formula1>
    </dataValidation>
    <dataValidation type="list" allowBlank="1" showInputMessage="1" showErrorMessage="1" sqref="N15:O15" xr:uid="{F6B86562-C2B6-4F57-A57C-26037F212EE5}">
      <formula1>$CS$31:$CS$36</formula1>
    </dataValidation>
    <dataValidation type="list" allowBlank="1" showInputMessage="1" showErrorMessage="1" sqref="N16" xr:uid="{8B940FD9-5369-49EF-871C-4263357AE3EE}">
      <formula1>$FY$10:$GA$10</formula1>
    </dataValidation>
    <dataValidation type="list" allowBlank="1" showInputMessage="1" showErrorMessage="1" sqref="K19:K20" xr:uid="{AFC1398C-86DD-4D01-B2CE-44FD6C032DF2}">
      <formula1>_Allowances</formula1>
    </dataValidation>
    <dataValidation type="list" allowBlank="1" showInputMessage="1" showErrorMessage="1" sqref="M17:O17" xr:uid="{59671B4F-CDA7-49FF-98E7-AA51E2A12245}">
      <formula1>$FY$17:$GB$17</formula1>
    </dataValidation>
    <dataValidation type="list" allowBlank="1" showInputMessage="1" showErrorMessage="1" sqref="M25:N25" xr:uid="{C57BB671-FD0A-4110-9187-C44419B3933D}">
      <formula1>$CS$17:$CS$22</formula1>
    </dataValidation>
    <dataValidation type="list" allowBlank="1" showInputMessage="1" showErrorMessage="1" sqref="M27:N27" xr:uid="{9B0BFB30-1515-4A60-A98F-9EFCC3A8A736}">
      <formula1>$CS$24:$CS$28</formula1>
    </dataValidation>
    <dataValidation type="list" allowBlank="1" showInputMessage="1" showErrorMessage="1" sqref="C51:O51" xr:uid="{AA513183-F4D3-43B4-A942-E2E891F80B77}">
      <formula1>LTYPE</formula1>
    </dataValidation>
    <dataValidation type="list" allowBlank="1" showInputMessage="1" showErrorMessage="1" sqref="C52:O52" xr:uid="{C93FE3CF-AA42-4F60-AD9A-794D8AC5C269}">
      <formula1>LEAVEMONTHS</formula1>
    </dataValidation>
    <dataValidation type="list" allowBlank="1" showInputMessage="1" showErrorMessage="1" sqref="H49:I49" xr:uid="{0D119111-88DE-429C-9299-42C5E7A721C0}">
      <formula1>"Old Regime,New Regime,Auto selection"</formula1>
    </dataValidation>
    <dataValidation type="list" allowBlank="1" showInputMessage="1" showErrorMessage="1" sqref="G68:H72" xr:uid="{5E732872-B15A-46EC-A326-0BA06179533C}">
      <formula1>taxtype</formula1>
    </dataValidation>
    <dataValidation type="list" allowBlank="1" showInputMessage="1" showErrorMessage="1" sqref="AR45" xr:uid="{20143EF6-DD29-409B-8BDA-F9B754EB86CB}">
      <formula1>$EZ$57:$EZ$58</formula1>
    </dataValidation>
    <dataValidation type="list" allowBlank="1" showInputMessage="1" showErrorMessage="1" sqref="N33 AU38" xr:uid="{4BCC4CD0-187B-4153-A7BA-778F446ED9EB}">
      <formula1>$FY$31:$FY$35</formula1>
    </dataValidation>
    <dataValidation type="list" allowBlank="1" showInputMessage="1" showErrorMessage="1" sqref="M35:M37 AT39" xr:uid="{E6333F76-2C1F-4FDA-B275-58BCC32FBC5E}">
      <formula1>_TEXTMONTHS</formula1>
    </dataValidation>
    <dataValidation type="list" allowBlank="1" showInputMessage="1" showErrorMessage="1" sqref="N35:N37 AU39" xr:uid="{23142ED5-4B4D-4B3A-B358-9589E372F3AA}">
      <formula1>"15,30"</formula1>
    </dataValidation>
    <dataValidation type="list" allowBlank="1" showInputMessage="1" showErrorMessage="1" sqref="E3" xr:uid="{75F2DEA2-5773-45F6-940F-481D69C51625}">
      <formula1>AGE</formula1>
    </dataValidation>
    <dataValidation type="list" allowBlank="1" showInputMessage="1" showErrorMessage="1" sqref="M15" xr:uid="{46C8AE88-847F-47E6-86B3-68C3036EDE6C}">
      <formula1>$CS$31:$CS$35</formula1>
    </dataValidation>
    <dataValidation type="list" allowBlank="1" showInputMessage="1" showErrorMessage="1" sqref="P40" xr:uid="{3AD44F56-AF01-4FCE-94CA-1A8F58FCC097}">
      <formula1>instals</formula1>
    </dataValidation>
  </dataValidations>
  <hyperlinks>
    <hyperlink ref="Q43" r:id="rId1" display="WWW.MEDAKBADI.IN" xr:uid="{D80BACDD-7689-4E99-8515-26ED941DBC7C}"/>
    <hyperlink ref="Q52" r:id="rId2" xr:uid="{F53B56A7-7714-4792-87AC-78EF4ECF9B40}"/>
    <hyperlink ref="Q50" r:id="rId3" xr:uid="{E0E6EA9F-DD4D-48F0-8852-9884AC6AA7E8}"/>
    <hyperlink ref="B55" r:id="rId4" xr:uid="{E8181C0D-981D-4000-8026-31B58339AA67}"/>
    <hyperlink ref="I55" r:id="rId5" xr:uid="{35840CEE-92F2-4D25-9724-781313BE1164}"/>
    <hyperlink ref="L55" r:id="rId6" xr:uid="{D39B06D9-ED0C-4A1D-BDDF-B49F9F92F95A}"/>
    <hyperlink ref="N55" r:id="rId7" xr:uid="{CA74897C-1049-46D9-A096-E227B886BEEB}"/>
    <hyperlink ref="E55" r:id="rId8" xr:uid="{FFB7D7A8-718F-4CFF-AD93-DF9046701CE4}"/>
    <hyperlink ref="Q19:R20" r:id="rId9" display="ANNUAL GRADE INCREMENT &amp; ALL TYPE OF LEAVE PROCEEDING SOFTWARE" xr:uid="{7C140ACB-AD8E-4CCD-BEDA-BDF25516A84B}"/>
    <hyperlink ref="Q21:R22" r:id="rId10" display="MID DAY MEALS SOFTWARE(All 12 months) for HS" xr:uid="{57D8360F-BF47-40B4-B988-5F6940B2AA21}"/>
    <hyperlink ref="Q23:R24" r:id="rId11" display="TS AAS (6/12/18/24 YEARS SCALES) SOFTWARE" xr:uid="{536BF400-676B-4ADE-9E5A-356DDB64D170}"/>
    <hyperlink ref="Q25:R26" r:id="rId12" display="PROMOTION FIXATION SOFTWARE ALL GOVT EMPLOYEES" xr:uid="{9A2141BC-9C11-4ADD-9F7D-518868073C6B}"/>
    <hyperlink ref="Q27:R28" r:id="rId13" display="Medical Reimbursement Proposal for working,retire &amp; death" xr:uid="{62E5B821-127F-4E55-A12A-82B7B1E9FE57}"/>
    <hyperlink ref="Q29:R30" r:id="rId14" display="GPF LOAN AND PART FINAL SOFTWARE" xr:uid="{4DEE507F-008C-41B2-9146-A3E4B78D8520}"/>
    <hyperlink ref="Q31:R32" r:id="rId15" display="ALL TYPE OF PENSIONER's SOFTWARES-TS" xr:uid="{AFB68018-0B1C-4BE3-A986-28FC830461E3}"/>
    <hyperlink ref="Q33:R34" r:id="rId16" display="TDS FORM 24 Q SOFTWARE FY 2023-24 " xr:uid="{E43075AC-A45E-4125-86BD-A4CB43A7969F}"/>
    <hyperlink ref="Q35:R36" r:id="rId17" display="Supplementary &amp; Leave salary Arrears  bill software in RPS-2020 for TS&amp;AP" xr:uid="{4A8ECDCF-BE9D-4696-8C97-E49D7E13DA2A}"/>
    <hyperlink ref="Q37:R38" r:id="rId18" display="ALL TYPE OF ENTRANCE EXAMS HALL WISE SEATING ARRANGEMENT SOFTWARE" xr:uid="{DB48CB14-8B9C-419E-A143-19806B406799}"/>
    <hyperlink ref="A34" r:id="rId19" display="WWW.MEDAKBADI.IN" xr:uid="{3CDBAE3C-66E7-40C5-8DD8-B2AD8B476DF8}"/>
    <hyperlink ref="Q45" r:id="rId20" display="WWW.MEDAKBADI.IN" xr:uid="{AB049F17-25C3-45D5-85EC-C894C46BF887}"/>
    <hyperlink ref="Q45:R46" r:id="rId21" display="UPDATED INCOME TAX SOFTWARE FY 2024-25" xr:uid="{73980722-30BC-4031-9772-0D77EA2D8B74}"/>
    <hyperlink ref="Q12" r:id="rId22" display="WWW.MEDAKBADI.IN" xr:uid="{AFCC5BC3-F3A7-4C4C-B763-6B4DDA9F1C3A}"/>
    <hyperlink ref="Q12:R13" r:id="rId23" display="UPDATED INCOME TAX SOFTWARE FY 2024-25" xr:uid="{FE2768E0-BB07-4735-B7B6-EA575777758A}"/>
  </hyperlinks>
  <pageMargins left="0.7" right="0.7" top="0.75" bottom="0.75" header="0.3" footer="0.3"/>
  <pageSetup orientation="portrait" r:id="rId24"/>
  <drawing r:id="rId25"/>
  <legacyDrawing r:id="rId26"/>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C9A70DFD-F798-4DF0-8AAD-64A1AAE54C14}">
  <sheetPr codeName="Sheet3">
    <tabColor theme="7" tint="0.59999389629810485"/>
    <pageSetUpPr fitToPage="1"/>
  </sheetPr>
  <dimension ref="A1:AH32"/>
  <sheetViews>
    <sheetView showGridLines="0" workbookViewId="0">
      <pane xSplit="3" ySplit="4" topLeftCell="D5" activePane="bottomRight" state="frozen"/>
      <selection pane="topRight" activeCell="D1" sqref="D1"/>
      <selection pane="bottomLeft" activeCell="A5" sqref="A5"/>
      <selection pane="bottomRight" activeCell="A3" sqref="A3:A4"/>
    </sheetView>
  </sheetViews>
  <sheetFormatPr defaultColWidth="0" defaultRowHeight="15" x14ac:dyDescent="0.25"/>
  <cols>
    <col min="1" max="1" width="2.7109375" customWidth="1"/>
    <col min="2" max="2" width="14.7109375" customWidth="1"/>
    <col min="3" max="3" width="3.85546875" customWidth="1"/>
    <col min="4" max="4" width="7.28515625" customWidth="1"/>
    <col min="5" max="5" width="6.7109375" customWidth="1"/>
    <col min="6" max="6" width="5.7109375" customWidth="1"/>
    <col min="7" max="7" width="4.28515625" customWidth="1"/>
    <col min="8" max="8" width="5.28515625" customWidth="1"/>
    <col min="9" max="9" width="5.85546875" customWidth="1"/>
    <col min="10" max="10" width="6.5703125" customWidth="1"/>
    <col min="11" max="11" width="5.5703125" customWidth="1"/>
    <col min="12" max="16" width="4.7109375" customWidth="1"/>
    <col min="17" max="17" width="5.28515625" customWidth="1"/>
    <col min="18" max="18" width="8" customWidth="1"/>
    <col min="19" max="19" width="7.140625" customWidth="1"/>
    <col min="20" max="20" width="6.7109375" customWidth="1"/>
    <col min="21" max="21" width="5.5703125" customWidth="1"/>
    <col min="22" max="22" width="4.42578125" customWidth="1"/>
    <col min="23" max="23" width="4.7109375" customWidth="1"/>
    <col min="24" max="24" width="5.42578125" customWidth="1"/>
    <col min="25" max="25" width="6" customWidth="1"/>
    <col min="26" max="26" width="6.7109375" customWidth="1"/>
    <col min="27" max="27" width="5.7109375" customWidth="1"/>
    <col min="28" max="28" width="7.5703125" customWidth="1"/>
    <col min="29" max="29" width="6.28515625" customWidth="1"/>
    <col min="30" max="30" width="5.28515625" customWidth="1"/>
    <col min="31" max="31" width="0.5703125" customWidth="1"/>
    <col min="32" max="32" width="7.5703125" customWidth="1"/>
    <col min="33" max="33" width="7.7109375" customWidth="1"/>
    <col min="34" max="34" width="8.7109375" customWidth="1"/>
    <col min="35" max="16384" width="8.7109375" hidden="1"/>
  </cols>
  <sheetData>
    <row r="1" spans="1:33" ht="18" customHeight="1" x14ac:dyDescent="0.25">
      <c r="A1" s="453" t="s">
        <v>641</v>
      </c>
    </row>
    <row r="2" spans="1:33" ht="19.149999999999999" customHeight="1" x14ac:dyDescent="0.25">
      <c r="A2" s="1204" t="str">
        <f>UPPER("                                   Salary Statement for FY-"&amp;ANNEXURE!A3&amp;" of "&amp;Sections!G2&amp;", ID NO: "&amp;ANNEXURE!G5&amp;","&amp;DATA!E7)</f>
        <v xml:space="preserve">                                   SALARY STATEMENT FOR FY-2025-2026 OF SRI/SMT XYZ   SA MATHS, ID NO: XXX,ZPHS MAREPALLY</v>
      </c>
      <c r="B2" s="1205"/>
      <c r="C2" s="1205"/>
      <c r="D2" s="1205"/>
      <c r="E2" s="1205"/>
      <c r="F2" s="1205"/>
      <c r="G2" s="1205"/>
      <c r="H2" s="1205"/>
      <c r="I2" s="1205"/>
      <c r="J2" s="1205"/>
      <c r="K2" s="1205"/>
      <c r="L2" s="1205"/>
      <c r="M2" s="1205"/>
      <c r="N2" s="1205"/>
      <c r="O2" s="1205"/>
      <c r="P2" s="1205"/>
      <c r="Q2" s="1205"/>
      <c r="R2" s="1205"/>
      <c r="S2" s="1205"/>
      <c r="T2" s="1205"/>
      <c r="U2" s="1205"/>
      <c r="V2" s="1205"/>
      <c r="W2" s="1205"/>
      <c r="X2" s="1205"/>
      <c r="Y2" s="1205"/>
      <c r="Z2" s="1205"/>
      <c r="AA2" s="1205"/>
      <c r="AB2" s="1205"/>
      <c r="AC2" s="1205"/>
      <c r="AD2" s="1206"/>
    </row>
    <row r="3" spans="1:33" ht="22.15" customHeight="1" x14ac:dyDescent="0.25">
      <c r="A3" s="1207" t="s">
        <v>109</v>
      </c>
      <c r="B3" s="274" t="s">
        <v>17</v>
      </c>
      <c r="C3" s="1208" t="s">
        <v>117</v>
      </c>
      <c r="D3" s="1213" t="s">
        <v>720</v>
      </c>
      <c r="E3" s="1214"/>
      <c r="F3" s="1214"/>
      <c r="G3" s="1214"/>
      <c r="H3" s="1214"/>
      <c r="I3" s="1214"/>
      <c r="J3" s="1214"/>
      <c r="K3" s="1214"/>
      <c r="L3" s="1214"/>
      <c r="M3" s="1214"/>
      <c r="N3" s="1214"/>
      <c r="O3" s="1214"/>
      <c r="P3" s="1214"/>
      <c r="Q3" s="1215"/>
      <c r="R3" s="469"/>
      <c r="S3" s="1210" t="s">
        <v>18</v>
      </c>
      <c r="T3" s="1211"/>
      <c r="U3" s="1211"/>
      <c r="V3" s="1211"/>
      <c r="W3" s="1211"/>
      <c r="X3" s="1211"/>
      <c r="Y3" s="1211"/>
      <c r="Z3" s="1211"/>
      <c r="AA3" s="1212"/>
      <c r="AB3" s="454"/>
      <c r="AC3" s="273"/>
      <c r="AD3" s="273"/>
    </row>
    <row r="4" spans="1:33" ht="40.9" customHeight="1" x14ac:dyDescent="0.25">
      <c r="A4" s="1207"/>
      <c r="B4" s="274" t="s">
        <v>80</v>
      </c>
      <c r="C4" s="1209"/>
      <c r="D4" s="456" t="s">
        <v>110</v>
      </c>
      <c r="E4" s="471" t="s">
        <v>99</v>
      </c>
      <c r="F4" s="471" t="s">
        <v>67</v>
      </c>
      <c r="G4" s="473" t="str">
        <f>Table!T6</f>
        <v>Addl Incre</v>
      </c>
      <c r="H4" s="473" t="str">
        <f>Table!U6</f>
        <v>FPI+PP</v>
      </c>
      <c r="I4" s="473" t="str">
        <f>Table!V6</f>
        <v>Spl.Pay</v>
      </c>
      <c r="J4" s="473" t="str">
        <f>Table!W6</f>
        <v>IR</v>
      </c>
      <c r="K4" s="457" t="s">
        <v>6</v>
      </c>
      <c r="L4" s="460" t="str">
        <f>Table!Y6</f>
        <v>Reader Allowance</v>
      </c>
      <c r="M4" s="461" t="str">
        <f>Table!Z6</f>
        <v>Uniform Allowance</v>
      </c>
      <c r="N4" s="457" t="s">
        <v>82</v>
      </c>
      <c r="O4" s="457" t="s">
        <v>83</v>
      </c>
      <c r="P4" s="457" t="s">
        <v>84</v>
      </c>
      <c r="Q4" s="457" t="str">
        <f>DATA!K21</f>
        <v>Others</v>
      </c>
      <c r="R4" s="455" t="s">
        <v>113</v>
      </c>
      <c r="S4" s="473" t="str">
        <f>Table!AF6</f>
        <v>CPS</v>
      </c>
      <c r="T4" s="456" t="str">
        <f>Table!AG6</f>
        <v>APGLI</v>
      </c>
      <c r="U4" s="456" t="str">
        <f>Table!AH6</f>
        <v>GIS</v>
      </c>
      <c r="V4" s="458" t="str">
        <f>Table!AI6</f>
        <v>EHS</v>
      </c>
      <c r="W4" s="458" t="str">
        <f>Table!AJ6</f>
        <v>Other Deduction</v>
      </c>
      <c r="X4" s="472" t="s">
        <v>622</v>
      </c>
      <c r="Y4" s="473" t="s">
        <v>112</v>
      </c>
      <c r="Z4" s="473" t="s">
        <v>629</v>
      </c>
      <c r="AA4" s="458" t="str">
        <f>DATA!K26</f>
        <v>LIC</v>
      </c>
      <c r="AB4" s="466" t="s">
        <v>114</v>
      </c>
      <c r="AC4" s="467" t="s">
        <v>115</v>
      </c>
      <c r="AD4" s="467" t="s">
        <v>102</v>
      </c>
      <c r="AE4" s="468"/>
      <c r="AF4" s="441" t="s">
        <v>473</v>
      </c>
      <c r="AG4" s="408" t="s">
        <v>609</v>
      </c>
    </row>
    <row r="5" spans="1:33" ht="19.149999999999999" customHeight="1" x14ac:dyDescent="0.25">
      <c r="A5" s="451">
        <v>1</v>
      </c>
      <c r="B5" s="444" t="str">
        <f>IFERROR(INDEX(Table!$I$7:$I$35,Table!$B7,1),"")</f>
        <v>01 to 31/Mar/2025</v>
      </c>
      <c r="C5" s="789" t="str">
        <f>IFERROR(IF(B5="","",INDEX(Table!$K$7:$K$35,Table!$B7,1)),0)</f>
        <v/>
      </c>
      <c r="D5" s="445">
        <f ca="1">IFERROR(INDEX(Table!$O$7:$O$35,Table!$B7,1),0)</f>
        <v>72810</v>
      </c>
      <c r="E5" s="445">
        <f ca="1">IFERROR(INDEX(Table!$Q$7:$Q$35,Table!$B7,1),0)</f>
        <v>24515</v>
      </c>
      <c r="F5" s="445">
        <f ca="1">IFERROR(INDEX(Table!$S$7:$S$35,Table!$B7,1),0)</f>
        <v>7281</v>
      </c>
      <c r="G5" s="445">
        <f ca="1">IFERROR(INDEX(Table!$T$7:$T$35,Table!$B7,1),0)</f>
        <v>0</v>
      </c>
      <c r="H5" s="445">
        <f ca="1">IFERROR(INDEX(Table!$U$7:$U$35,Table!$B7,1),0)</f>
        <v>0</v>
      </c>
      <c r="I5" s="445">
        <f ca="1">IFERROR(INDEX(Table!$V$7:$V$35,Table!$B7,1),0)</f>
        <v>0</v>
      </c>
      <c r="J5" s="445">
        <f ca="1">IFERROR(INDEX(Table!$W$7:$W$24,Table!$B7,1),0)</f>
        <v>0</v>
      </c>
      <c r="K5" s="445">
        <f ca="1">IFERROR(INDEX(Table!$X$7:$AC$35,Table!$B7,1),0)</f>
        <v>0</v>
      </c>
      <c r="L5" s="445">
        <f>IFERROR(INDEX(Table!$Y$7:$Y$35,Table!$B7,1),0)</f>
        <v>0</v>
      </c>
      <c r="M5" s="445">
        <f>IFERROR(INDEX(Table!$Z$7:$Z$35,Table!$B7,1),0)</f>
        <v>0</v>
      </c>
      <c r="N5" s="445">
        <f ca="1">IFERROR(INDEX(Table!$AA$7:$AC$35,Table!$B7,1),0)</f>
        <v>0</v>
      </c>
      <c r="O5" s="445">
        <f ca="1">IFERROR(INDEX(Table!$AA$7:$AC$35,Table!$B7,3),0)</f>
        <v>0</v>
      </c>
      <c r="P5" s="445">
        <f>IFERROR(INDEX(Table!$AA$7:$AC$35,Table!$B7,2),0)</f>
        <v>0</v>
      </c>
      <c r="Q5" s="445">
        <f>IFERROR(INDEX(Table!$AD$7:$AD$35,Table!$B7,1),0)</f>
        <v>0</v>
      </c>
      <c r="R5" s="445">
        <f ca="1">SUM(D5:Q5)</f>
        <v>104606</v>
      </c>
      <c r="S5" s="445">
        <f ca="1">IFERROR(INDEX(Table!$AF$7:$AK$35,Table!$B7,1),0)</f>
        <v>9733</v>
      </c>
      <c r="T5" s="445">
        <f>IFERROR(INDEX(Table!$AF$7:$AK$35,Table!$B7,2),0)</f>
        <v>3000</v>
      </c>
      <c r="U5" s="445">
        <f>IFERROR(INDEX(Table!$AF$7:$AK$35,Table!$B7,3),0)</f>
        <v>120</v>
      </c>
      <c r="V5" s="445">
        <f>IFERROR(INDEX(Table!$AF$7:$AK$35,Table!$B7,4),0)</f>
        <v>0</v>
      </c>
      <c r="W5" s="445">
        <f>IFERROR(INDEX(Table!$AF$7:$AK$35,Table!$B7,5),0)</f>
        <v>0</v>
      </c>
      <c r="X5" s="445">
        <f>IFERROR(INDEX(Table!$AF$7:$AK$35,Table!$B7,6),0)</f>
        <v>20</v>
      </c>
      <c r="Y5" s="445">
        <f ca="1">IFERROR(IF(NOT(AG5=""),AG5,INDEX(Table!$AN$7:$AN$35,Table!$B7,1)),0)</f>
        <v>200</v>
      </c>
      <c r="Z5" s="445">
        <f>IFERROR(INDEX(Table!$AO$7:$AO$35,Table!$B7,1),0)</f>
        <v>0</v>
      </c>
      <c r="AA5" s="445">
        <f>IFERROR(INDEX(Table!$AP$7:$AP$35,Table!$B7,1),0)</f>
        <v>0</v>
      </c>
      <c r="AB5" s="445">
        <f ca="1">R5-SUM(S5:AA5)</f>
        <v>91533</v>
      </c>
      <c r="AC5" s="446">
        <f>IFERROR(INDEX(Table!$P$7:$P$35,Table!$B7,1),0)</f>
        <v>33.67</v>
      </c>
      <c r="AD5" s="447">
        <f>IFERROR(INDEX(Table!$R$7:$R$35,Table!$B7,1),0)</f>
        <v>10</v>
      </c>
      <c r="AF5" s="440">
        <v>1</v>
      </c>
      <c r="AG5" s="407"/>
    </row>
    <row r="6" spans="1:33" ht="19.149999999999999" customHeight="1" x14ac:dyDescent="0.25">
      <c r="A6" s="451">
        <f>IF(NOT(B6=""),SUM(MAX($A$5:A5)+1),"")</f>
        <v>2</v>
      </c>
      <c r="B6" s="444" t="str">
        <f>IFERROR(INDEX(Table!$I$7:$I$35,Table!$B8,1),"")</f>
        <v>01 to 30/Apr/2025</v>
      </c>
      <c r="C6" s="789" t="str">
        <f>IFERROR(IF(B6="","",INDEX(Table!$K$7:$K$35,Table!$B8,1)),0)</f>
        <v/>
      </c>
      <c r="D6" s="445">
        <f>IFERROR(INDEX(Table!$O$7:$O$35,Table!$B8,1),0)</f>
        <v>72810</v>
      </c>
      <c r="E6" s="445">
        <f>IFERROR(INDEX(Table!$Q$7:$Q$35,Table!$B8,1),0)</f>
        <v>24515</v>
      </c>
      <c r="F6" s="445">
        <f>IFERROR(INDEX(Table!$S$7:$S$35,Table!$B8,1),0)</f>
        <v>7281</v>
      </c>
      <c r="G6" s="445">
        <f>IFERROR(INDEX(Table!$T$7:$T$35,Table!$B8,1),0)</f>
        <v>0</v>
      </c>
      <c r="H6" s="445">
        <f>IFERROR(INDEX(Table!$U$7:$U$35,Table!$B8,1),0)</f>
        <v>0</v>
      </c>
      <c r="I6" s="445">
        <f>IFERROR(INDEX(Table!$V$7:$V$35,Table!$B8,1),0)</f>
        <v>0</v>
      </c>
      <c r="J6" s="445">
        <f>IFERROR(INDEX(Table!$W$7:$W$24,Table!$B8,1),0)</f>
        <v>0</v>
      </c>
      <c r="K6" s="445">
        <f>IFERROR(INDEX(Table!$X$7:$AC$35,Table!$B8,1),0)</f>
        <v>0</v>
      </c>
      <c r="L6" s="445">
        <f>IFERROR(INDEX(Table!$Y$7:$Y$35,Table!$B8,1),0)</f>
        <v>0</v>
      </c>
      <c r="M6" s="445">
        <f>IFERROR(INDEX(Table!$Z$7:$Z$35,Table!$B8,1),0)</f>
        <v>0</v>
      </c>
      <c r="N6" s="445">
        <f>IFERROR(INDEX(Table!$AA$7:$AC$35,Table!$B8,1),0)</f>
        <v>0</v>
      </c>
      <c r="O6" s="445">
        <f>IFERROR(INDEX(Table!$AA$7:$AC$35,Table!$B8,3),0)</f>
        <v>0</v>
      </c>
      <c r="P6" s="445">
        <f>IFERROR(INDEX(Table!$AA$7:$AC$35,Table!$B8,2),0)</f>
        <v>0</v>
      </c>
      <c r="Q6" s="445">
        <f>IFERROR(INDEX(Table!$AD$7:$AD$35,Table!$B8,1),0)</f>
        <v>0</v>
      </c>
      <c r="R6" s="445">
        <f t="shared" ref="R6:R28" si="0">SUM(D6:Q6)</f>
        <v>104606</v>
      </c>
      <c r="S6" s="445">
        <f>IFERROR(INDEX(Table!$AF$7:$AK$35,Table!$B8,1),0)</f>
        <v>9733</v>
      </c>
      <c r="T6" s="445">
        <f>IFERROR(INDEX(Table!$AF$7:$AK$35,Table!$B8,2),0)</f>
        <v>3000</v>
      </c>
      <c r="U6" s="445">
        <f>IFERROR(INDEX(Table!$AF$7:$AK$35,Table!$B8,3),0)</f>
        <v>120</v>
      </c>
      <c r="V6" s="445">
        <f>IFERROR(INDEX(Table!$AF$7:$AK$35,Table!$B8,4),0)</f>
        <v>0</v>
      </c>
      <c r="W6" s="445">
        <f>IFERROR(INDEX(Table!$AF$7:$AJ$35,Table!$B8,5),0)</f>
        <v>0</v>
      </c>
      <c r="X6" s="445">
        <f>IFERROR(INDEX(Table!$AF$7:$AK$35,Table!$B8,6),0)</f>
        <v>0</v>
      </c>
      <c r="Y6" s="445">
        <f>IFERROR(IF(NOT(AG6=""),AG6,INDEX(Table!$AN$7:$AN$35,Table!$B8,1)),0)</f>
        <v>200</v>
      </c>
      <c r="Z6" s="445">
        <f>IFERROR(INDEX(Table!$AO$7:$AO$35,Table!$B8,1),0)</f>
        <v>0</v>
      </c>
      <c r="AA6" s="445">
        <f>IFERROR(INDEX(Table!$AP$7:$AP$35,Table!$B8,1),0)</f>
        <v>0</v>
      </c>
      <c r="AB6" s="445">
        <f t="shared" ref="AB6:AB25" si="1">R6-SUM(S6:AA6)</f>
        <v>91553</v>
      </c>
      <c r="AC6" s="446">
        <f>IFERROR(INDEX(Table!$P$7:$P$35,Table!$B8,1),0)</f>
        <v>33.67</v>
      </c>
      <c r="AD6" s="447">
        <f>IFERROR(INDEX(Table!$R$7:$R$35,Table!$B8,1),0)</f>
        <v>10</v>
      </c>
      <c r="AF6" s="440">
        <f t="shared" ref="AF6:AF26" si="2">IF(B5="","",1)</f>
        <v>1</v>
      </c>
      <c r="AG6" s="407"/>
    </row>
    <row r="7" spans="1:33" ht="19.149999999999999" customHeight="1" x14ac:dyDescent="0.25">
      <c r="A7" s="451">
        <f>IF(NOT(B7=""),SUM(MAX($A$5:A6)+1),"")</f>
        <v>3</v>
      </c>
      <c r="B7" s="444" t="str">
        <f>IFERROR(INDEX(Table!$I$7:$I$35,Table!$B9,1),"")</f>
        <v>01 to 31/May/2025</v>
      </c>
      <c r="C7" s="789" t="str">
        <f>IFERROR(IF(B7="","",INDEX(Table!$K$7:$K$35,Table!$B9,1)),0)</f>
        <v>AGI</v>
      </c>
      <c r="D7" s="445">
        <f>IFERROR(INDEX(Table!$O$7:$O$35,Table!$B9,1),0)</f>
        <v>74770</v>
      </c>
      <c r="E7" s="445">
        <f>IFERROR(INDEX(Table!$Q$7:$Q$35,Table!$B9,1),0)</f>
        <v>25175</v>
      </c>
      <c r="F7" s="445">
        <f>IFERROR(INDEX(Table!$S$7:$S$35,Table!$B9,1),0)</f>
        <v>7477</v>
      </c>
      <c r="G7" s="445">
        <f>IFERROR(INDEX(Table!$T$7:$T$35,Table!$B9,1),0)</f>
        <v>0</v>
      </c>
      <c r="H7" s="445">
        <f>IFERROR(INDEX(Table!$U$7:$U$35,Table!$B9,1),0)</f>
        <v>0</v>
      </c>
      <c r="I7" s="445">
        <f>IFERROR(INDEX(Table!$V$7:$V$35,Table!$B9,1),0)</f>
        <v>0</v>
      </c>
      <c r="J7" s="445">
        <f>IFERROR(INDEX(Table!$W$7:$W$24,Table!$B9,1),0)</f>
        <v>0</v>
      </c>
      <c r="K7" s="445">
        <f>IFERROR(INDEX(Table!$X$7:$AC$35,Table!$B9,1),0)</f>
        <v>0</v>
      </c>
      <c r="L7" s="445">
        <f>IFERROR(INDEX(Table!$Y$7:$Y$35,Table!$B9,1),0)</f>
        <v>0</v>
      </c>
      <c r="M7" s="445">
        <f>IFERROR(INDEX(Table!$Z$7:$Z$35,Table!$B9,1),0)</f>
        <v>0</v>
      </c>
      <c r="N7" s="445">
        <f>IFERROR(INDEX(Table!$AA$7:$AC$35,Table!$B9,1),0)</f>
        <v>0</v>
      </c>
      <c r="O7" s="445">
        <f>IFERROR(INDEX(Table!$AA$7:$AC$35,Table!$B9,3),0)</f>
        <v>0</v>
      </c>
      <c r="P7" s="445">
        <f>IFERROR(INDEX(Table!$AA$7:$AC$35,Table!$B9,2),0)</f>
        <v>0</v>
      </c>
      <c r="Q7" s="445">
        <f>IFERROR(INDEX(Table!$AD$7:$AD$35,Table!$B9,1),0)</f>
        <v>0</v>
      </c>
      <c r="R7" s="445">
        <f t="shared" si="0"/>
        <v>107422</v>
      </c>
      <c r="S7" s="445">
        <f>IFERROR(INDEX(Table!$AF$7:$AK$35,Table!$B9,1),0)</f>
        <v>9995</v>
      </c>
      <c r="T7" s="445">
        <f>IFERROR(INDEX(Table!$AF$7:$AK$35,Table!$B9,2),0)</f>
        <v>3000</v>
      </c>
      <c r="U7" s="445">
        <f>IFERROR(INDEX(Table!$AF$7:$AK$35,Table!$B9,3),0)</f>
        <v>120</v>
      </c>
      <c r="V7" s="445">
        <f>IFERROR(INDEX(Table!$AF$7:$AK$35,Table!$B9,4),0)</f>
        <v>0</v>
      </c>
      <c r="W7" s="445">
        <f>IFERROR(INDEX(Table!$AF$7:$AJ$35,Table!$B9,5),0)</f>
        <v>0</v>
      </c>
      <c r="X7" s="445">
        <f>IFERROR(INDEX(Table!$AF$7:$AK$35,Table!$B9,6),0)</f>
        <v>0</v>
      </c>
      <c r="Y7" s="445">
        <f>IFERROR(IF(NOT(AG7=""),AG7,INDEX(Table!$AN$7:$AN$35,Table!$B9,1)),0)</f>
        <v>200</v>
      </c>
      <c r="Z7" s="445">
        <f>IFERROR(INDEX(Table!$AO$7:$AO$35,Table!$B9,1),0)</f>
        <v>0</v>
      </c>
      <c r="AA7" s="445">
        <f>IFERROR(INDEX(Table!$AP$7:$AP$35,Table!$B9,1),0)</f>
        <v>0</v>
      </c>
      <c r="AB7" s="445">
        <f>R7-SUM(S7:AA7)</f>
        <v>94107</v>
      </c>
      <c r="AC7" s="446">
        <f>IFERROR(INDEX(Table!$P$7:$P$35,Table!$B9,1),0)</f>
        <v>33.67</v>
      </c>
      <c r="AD7" s="447">
        <f>IFERROR(INDEX(Table!$R$7:$R$35,Table!$B9,1),0)</f>
        <v>10</v>
      </c>
      <c r="AF7" s="440">
        <f t="shared" si="2"/>
        <v>1</v>
      </c>
      <c r="AG7" s="407"/>
    </row>
    <row r="8" spans="1:33" ht="19.149999999999999" customHeight="1" x14ac:dyDescent="0.25">
      <c r="A8" s="451">
        <f>IF(NOT(B8=""),SUM(MAX($A$5:A7)+1),"")</f>
        <v>4</v>
      </c>
      <c r="B8" s="444" t="str">
        <f>IFERROR(INDEX(Table!$I$7:$I$35,Table!$B10,1),"")</f>
        <v>01 to 30/Jun/2025</v>
      </c>
      <c r="C8" s="789" t="str">
        <f>IFERROR(IF(B8="","",INDEX(Table!$K$7:$K$35,Table!$B10,1)),0)</f>
        <v/>
      </c>
      <c r="D8" s="445">
        <f>IFERROR(INDEX(Table!$O$7:$O$35,Table!$B10,1),0)</f>
        <v>74770</v>
      </c>
      <c r="E8" s="445">
        <f>IFERROR(INDEX(Table!$Q$7:$Q$35,Table!$B10,1),0)</f>
        <v>25175</v>
      </c>
      <c r="F8" s="445">
        <f>IFERROR(INDEX(Table!$S$7:$S$35,Table!$B10,1),0)</f>
        <v>7477</v>
      </c>
      <c r="G8" s="445">
        <f>IFERROR(INDEX(Table!$T$7:$T$35,Table!$B10,1),0)</f>
        <v>0</v>
      </c>
      <c r="H8" s="445">
        <f>IFERROR(INDEX(Table!$U$7:$U$35,Table!$B10,1),0)</f>
        <v>0</v>
      </c>
      <c r="I8" s="445">
        <f>IFERROR(INDEX(Table!$V$7:$V$35,Table!$B10,1),0)</f>
        <v>0</v>
      </c>
      <c r="J8" s="445">
        <f>IFERROR(INDEX(Table!$W$7:$W$24,Table!$B10,1),0)</f>
        <v>0</v>
      </c>
      <c r="K8" s="445">
        <f>IFERROR(INDEX(Table!$X$7:$AC$35,Table!$B10,1),0)</f>
        <v>0</v>
      </c>
      <c r="L8" s="445">
        <f>IFERROR(INDEX(Table!$Y$7:$Y$35,Table!$B10,1),0)</f>
        <v>0</v>
      </c>
      <c r="M8" s="445">
        <f>IFERROR(INDEX(Table!$Z$7:$Z$35,Table!$B10,1),0)</f>
        <v>0</v>
      </c>
      <c r="N8" s="445">
        <f>IFERROR(INDEX(Table!$AA$7:$AC$35,Table!$B10,1),0)</f>
        <v>0</v>
      </c>
      <c r="O8" s="445">
        <f>IFERROR(INDEX(Table!$AA$7:$AC$35,Table!$B10,3),0)</f>
        <v>0</v>
      </c>
      <c r="P8" s="445">
        <f>IFERROR(INDEX(Table!$AA$7:$AC$35,Table!$B10,2),0)</f>
        <v>0</v>
      </c>
      <c r="Q8" s="445">
        <f>IFERROR(INDEX(Table!$AD$7:$AD$35,Table!$B10,1),0)</f>
        <v>0</v>
      </c>
      <c r="R8" s="445">
        <f t="shared" si="0"/>
        <v>107422</v>
      </c>
      <c r="S8" s="445">
        <f>IFERROR(INDEX(Table!$AF$7:$AK$35,Table!$B10,1),0)</f>
        <v>9995</v>
      </c>
      <c r="T8" s="445">
        <f>IFERROR(INDEX(Table!$AF$7:$AK$35,Table!$B10,2),0)</f>
        <v>3000</v>
      </c>
      <c r="U8" s="445">
        <f>IFERROR(INDEX(Table!$AF$7:$AK$35,Table!$B10,3),0)</f>
        <v>120</v>
      </c>
      <c r="V8" s="445">
        <f>IFERROR(INDEX(Table!$AF$7:$AK$35,Table!$B10,4),0)</f>
        <v>0</v>
      </c>
      <c r="W8" s="445">
        <f>IFERROR(INDEX(Table!$AF$7:$AJ$35,Table!$B10,5),0)</f>
        <v>0</v>
      </c>
      <c r="X8" s="445">
        <f>IFERROR(INDEX(Table!$AF$7:$AK$35,Table!$B10,6),0)</f>
        <v>0</v>
      </c>
      <c r="Y8" s="445">
        <f>IFERROR(IF(NOT(AG8=""),AG8,INDEX(Table!$AN$7:$AN$35,Table!$B10,1)),0)</f>
        <v>200</v>
      </c>
      <c r="Z8" s="445">
        <f>IFERROR(INDEX(Table!$AO$7:$AO$35,Table!$B10,1),0)</f>
        <v>0</v>
      </c>
      <c r="AA8" s="445">
        <f>IFERROR(INDEX(Table!$AP$7:$AP$35,Table!$B10,1),0)</f>
        <v>0</v>
      </c>
      <c r="AB8" s="445">
        <f t="shared" si="1"/>
        <v>94107</v>
      </c>
      <c r="AC8" s="446">
        <f>IFERROR(INDEX(Table!$P$7:$P$35,Table!$B10,1),0)</f>
        <v>33.67</v>
      </c>
      <c r="AD8" s="447">
        <f>IFERROR(INDEX(Table!$R$7:$R$35,Table!$B10,1),0)</f>
        <v>10</v>
      </c>
      <c r="AF8" s="440">
        <f t="shared" si="2"/>
        <v>1</v>
      </c>
      <c r="AG8" s="407"/>
    </row>
    <row r="9" spans="1:33" ht="19.149999999999999" customHeight="1" x14ac:dyDescent="0.25">
      <c r="A9" s="451">
        <f>IF(NOT(B9=""),SUM(MAX($A$5:A8)+1),"")</f>
        <v>5</v>
      </c>
      <c r="B9" s="444" t="str">
        <f>IFERROR(INDEX(Table!$I$7:$I$35,Table!$B11,1),"")</f>
        <v>01 to 31/Jul/2025</v>
      </c>
      <c r="C9" s="789" t="str">
        <f>IFERROR(IF(B9="","",INDEX(Table!$K$7:$K$35,Table!$B11,1)),0)</f>
        <v/>
      </c>
      <c r="D9" s="445">
        <f>IFERROR(INDEX(Table!$O$7:$O$35,Table!$B11,1),0)</f>
        <v>74770</v>
      </c>
      <c r="E9" s="445">
        <f>IFERROR(INDEX(Table!$Q$7:$Q$35,Table!$B11,1),0)</f>
        <v>25175</v>
      </c>
      <c r="F9" s="445">
        <f>IFERROR(INDEX(Table!$S$7:$S$35,Table!$B11,1),0)</f>
        <v>7477</v>
      </c>
      <c r="G9" s="445">
        <f>IFERROR(INDEX(Table!$T$7:$T$35,Table!$B11,1),0)</f>
        <v>0</v>
      </c>
      <c r="H9" s="445">
        <f>IFERROR(INDEX(Table!$U$7:$U$35,Table!$B11,1),0)</f>
        <v>0</v>
      </c>
      <c r="I9" s="445">
        <f>IFERROR(INDEX(Table!$V$7:$V$35,Table!$B11,1),0)</f>
        <v>0</v>
      </c>
      <c r="J9" s="445">
        <f>IFERROR(INDEX(Table!$W$7:$W$24,Table!$B11,1),0)</f>
        <v>0</v>
      </c>
      <c r="K9" s="445">
        <f>IFERROR(INDEX(Table!$X$7:$AC$35,Table!$B11,1),0)</f>
        <v>0</v>
      </c>
      <c r="L9" s="445">
        <f>IFERROR(INDEX(Table!$Y$7:$Y$35,Table!$B11,1),0)</f>
        <v>0</v>
      </c>
      <c r="M9" s="445">
        <f>IFERROR(INDEX(Table!$Z$7:$Z$35,Table!$B11,1),0)</f>
        <v>0</v>
      </c>
      <c r="N9" s="445">
        <f>IFERROR(INDEX(Table!$AA$7:$AC$35,Table!$B11,1),0)</f>
        <v>0</v>
      </c>
      <c r="O9" s="445">
        <f>IFERROR(INDEX(Table!$AA$7:$AC$35,Table!$B11,3),0)</f>
        <v>0</v>
      </c>
      <c r="P9" s="445">
        <f>IFERROR(INDEX(Table!$AA$7:$AC$35,Table!$B11,2),0)</f>
        <v>0</v>
      </c>
      <c r="Q9" s="445">
        <f>IFERROR(INDEX(Table!$AD$7:$AD$35,Table!$B11,1),0)</f>
        <v>0</v>
      </c>
      <c r="R9" s="445">
        <f t="shared" si="0"/>
        <v>107422</v>
      </c>
      <c r="S9" s="445">
        <f>IFERROR(INDEX(Table!$AF$7:$AK$35,Table!$B11,1),0)</f>
        <v>9995</v>
      </c>
      <c r="T9" s="445">
        <f>IFERROR(INDEX(Table!$AF$7:$AK$35,Table!$B11,2),0)</f>
        <v>3000</v>
      </c>
      <c r="U9" s="445">
        <f>IFERROR(INDEX(Table!$AF$7:$AK$35,Table!$B11,3),0)</f>
        <v>120</v>
      </c>
      <c r="V9" s="445">
        <f>IFERROR(INDEX(Table!$AF$7:$AK$35,Table!$B11,4),0)</f>
        <v>0</v>
      </c>
      <c r="W9" s="445">
        <f>IFERROR(INDEX(Table!$AF$7:$AJ$35,Table!$B11,5),0)</f>
        <v>0</v>
      </c>
      <c r="X9" s="445">
        <f>IFERROR(INDEX(Table!$AF$7:$AK$35,Table!$B11,6),0)</f>
        <v>0</v>
      </c>
      <c r="Y9" s="445">
        <f>IFERROR(IF(NOT(AG9=""),AG9,INDEX(Table!$AN$7:$AN$35,Table!$B11,1)),0)</f>
        <v>200</v>
      </c>
      <c r="Z9" s="445">
        <f>IFERROR(INDEX(Table!$AO$7:$AO$35,Table!$B11,1),0)</f>
        <v>0</v>
      </c>
      <c r="AA9" s="445">
        <f>IFERROR(INDEX(Table!$AP$7:$AP$35,Table!$B11,1),0)</f>
        <v>0</v>
      </c>
      <c r="AB9" s="445">
        <f t="shared" si="1"/>
        <v>94107</v>
      </c>
      <c r="AC9" s="446">
        <f>IFERROR(INDEX(Table!$P$7:$P$35,Table!$B11,1),0)</f>
        <v>33.67</v>
      </c>
      <c r="AD9" s="447">
        <f>IFERROR(INDEX(Table!$R$7:$R$35,Table!$B11,1),0)</f>
        <v>10</v>
      </c>
      <c r="AF9" s="440">
        <f t="shared" si="2"/>
        <v>1</v>
      </c>
      <c r="AG9" s="407"/>
    </row>
    <row r="10" spans="1:33" ht="19.149999999999999" customHeight="1" x14ac:dyDescent="0.25">
      <c r="A10" s="451">
        <f>IF(NOT(B10=""),SUM(MAX($A$5:A9)+1),"")</f>
        <v>6</v>
      </c>
      <c r="B10" s="444" t="str">
        <f>IFERROR(INDEX(Table!$I$7:$I$35,Table!$B12,1),"")</f>
        <v>01 to 31/Aug/2025</v>
      </c>
      <c r="C10" s="789" t="str">
        <f>IFERROR(IF(B10="","",INDEX(Table!$K$7:$K$35,Table!$B12,1)),0)</f>
        <v/>
      </c>
      <c r="D10" s="445">
        <f>IFERROR(INDEX(Table!$O$7:$O$35,Table!$B12,1),0)</f>
        <v>74770</v>
      </c>
      <c r="E10" s="445">
        <f>IFERROR(INDEX(Table!$Q$7:$Q$35,Table!$B12,1),0)</f>
        <v>25175</v>
      </c>
      <c r="F10" s="445">
        <f>IFERROR(INDEX(Table!$S$7:$S$35,Table!$B12,1),0)</f>
        <v>7477</v>
      </c>
      <c r="G10" s="445">
        <f>IFERROR(INDEX(Table!$T$7:$T$35,Table!$B12,1),0)</f>
        <v>0</v>
      </c>
      <c r="H10" s="445">
        <f>IFERROR(INDEX(Table!$U$7:$U$35,Table!$B12,1),0)</f>
        <v>0</v>
      </c>
      <c r="I10" s="445">
        <f>IFERROR(INDEX(Table!$V$7:$V$35,Table!$B12,1),0)</f>
        <v>0</v>
      </c>
      <c r="J10" s="445">
        <f>IFERROR(INDEX(Table!$W$7:$W$24,Table!$B12,1),0)</f>
        <v>0</v>
      </c>
      <c r="K10" s="445">
        <f>IFERROR(INDEX(Table!$X$7:$AC$35,Table!$B12,1),0)</f>
        <v>0</v>
      </c>
      <c r="L10" s="445">
        <f>IFERROR(INDEX(Table!$Y$7:$Y$35,Table!$B12,1),0)</f>
        <v>0</v>
      </c>
      <c r="M10" s="445">
        <f>IFERROR(INDEX(Table!$Z$7:$Z$35,Table!$B12,1),0)</f>
        <v>0</v>
      </c>
      <c r="N10" s="445">
        <f>IFERROR(INDEX(Table!$AA$7:$AC$35,Table!$B12,1),0)</f>
        <v>0</v>
      </c>
      <c r="O10" s="445">
        <f>IFERROR(INDEX(Table!$AA$7:$AC$35,Table!$B12,3),0)</f>
        <v>0</v>
      </c>
      <c r="P10" s="445">
        <f>IFERROR(INDEX(Table!$AA$7:$AC$35,Table!$B12,2),0)</f>
        <v>0</v>
      </c>
      <c r="Q10" s="445">
        <f>IFERROR(INDEX(Table!$AD$7:$AD$35,Table!$B12,1),0)</f>
        <v>0</v>
      </c>
      <c r="R10" s="445">
        <f t="shared" si="0"/>
        <v>107422</v>
      </c>
      <c r="S10" s="445">
        <f>IFERROR(INDEX(Table!$AF$7:$AK$35,Table!$B12,1),0)</f>
        <v>9995</v>
      </c>
      <c r="T10" s="445">
        <f>IFERROR(INDEX(Table!$AF$7:$AK$35,Table!$B12,2),0)</f>
        <v>3000</v>
      </c>
      <c r="U10" s="445">
        <f>IFERROR(INDEX(Table!$AF$7:$AK$35,Table!$B12,3),0)</f>
        <v>120</v>
      </c>
      <c r="V10" s="445">
        <f>IFERROR(INDEX(Table!$AF$7:$AK$35,Table!$B12,4),0)</f>
        <v>0</v>
      </c>
      <c r="W10" s="445">
        <f>IFERROR(INDEX(Table!$AF$7:$AJ$35,Table!$B12,5),0)</f>
        <v>0</v>
      </c>
      <c r="X10" s="445">
        <f>IFERROR(INDEX(Table!$AF$7:$AK$35,Table!$B12,6),0)</f>
        <v>0</v>
      </c>
      <c r="Y10" s="445">
        <f>IFERROR(IF(NOT(AG10=""),AG10,INDEX(Table!$AN$7:$AN$35,Table!$B12,1)),0)</f>
        <v>200</v>
      </c>
      <c r="Z10" s="445">
        <f>IFERROR(INDEX(Table!$AO$7:$AO$35,Table!$B12,1),0)</f>
        <v>0</v>
      </c>
      <c r="AA10" s="445">
        <f>IFERROR(INDEX(Table!$AP$7:$AP$35,Table!$B12,1),0)</f>
        <v>0</v>
      </c>
      <c r="AB10" s="445">
        <f t="shared" si="1"/>
        <v>94107</v>
      </c>
      <c r="AC10" s="446">
        <f>IFERROR(INDEX(Table!$P$7:$P$35,Table!$B12,1),0)</f>
        <v>33.67</v>
      </c>
      <c r="AD10" s="447">
        <f>IFERROR(INDEX(Table!$R$7:$R$35,Table!$B12,1),0)</f>
        <v>10</v>
      </c>
      <c r="AF10" s="440">
        <f t="shared" si="2"/>
        <v>1</v>
      </c>
      <c r="AG10" s="407"/>
    </row>
    <row r="11" spans="1:33" ht="19.149999999999999" customHeight="1" x14ac:dyDescent="0.25">
      <c r="A11" s="451">
        <f>IF(NOT(B11=""),SUM(MAX($A$5:A10)+1),"")</f>
        <v>7</v>
      </c>
      <c r="B11" s="444" t="str">
        <f>IFERROR(INDEX(Table!$I$7:$I$35,Table!$B13,1),"")</f>
        <v>01 to 30/Sep/2025</v>
      </c>
      <c r="C11" s="789" t="str">
        <f>IFERROR(IF(B11="","",INDEX(Table!$K$7:$K$35,Table!$B13,1)),0)</f>
        <v/>
      </c>
      <c r="D11" s="445">
        <f>IFERROR(INDEX(Table!$O$7:$O$35,Table!$B13,1),0)</f>
        <v>74770</v>
      </c>
      <c r="E11" s="445">
        <f>IFERROR(INDEX(Table!$Q$7:$Q$35,Table!$B13,1),0)</f>
        <v>25175</v>
      </c>
      <c r="F11" s="445">
        <f>IFERROR(INDEX(Table!$S$7:$S$35,Table!$B13,1),0)</f>
        <v>7477</v>
      </c>
      <c r="G11" s="445">
        <f>IFERROR(INDEX(Table!$T$7:$T$35,Table!$B13,1),0)</f>
        <v>0</v>
      </c>
      <c r="H11" s="445">
        <f>IFERROR(INDEX(Table!$U$7:$U$35,Table!$B13,1),0)</f>
        <v>0</v>
      </c>
      <c r="I11" s="445">
        <f>IFERROR(INDEX(Table!$V$7:$V$35,Table!$B13,1),0)</f>
        <v>0</v>
      </c>
      <c r="J11" s="445">
        <f>IFERROR(INDEX(Table!$W$7:$W$24,Table!$B13,1),0)</f>
        <v>0</v>
      </c>
      <c r="K11" s="445">
        <f>IFERROR(INDEX(Table!$X$7:$AC$35,Table!$B13,1),0)</f>
        <v>0</v>
      </c>
      <c r="L11" s="445">
        <f>IFERROR(INDEX(Table!$Y$7:$Y$35,Table!$B13,1),0)</f>
        <v>0</v>
      </c>
      <c r="M11" s="445">
        <f>IFERROR(INDEX(Table!$Z$7:$Z$35,Table!$B13,1),0)</f>
        <v>0</v>
      </c>
      <c r="N11" s="445">
        <f>IFERROR(INDEX(Table!$AA$7:$AC$35,Table!$B13,1),0)</f>
        <v>0</v>
      </c>
      <c r="O11" s="445">
        <f>IFERROR(INDEX(Table!$AA$7:$AC$35,Table!$B13,3),0)</f>
        <v>0</v>
      </c>
      <c r="P11" s="445">
        <f>IFERROR(INDEX(Table!$AA$7:$AC$35,Table!$B13,2),0)</f>
        <v>0</v>
      </c>
      <c r="Q11" s="445">
        <f>IFERROR(INDEX(Table!$AD$7:$AD$35,Table!$B13,1),0)</f>
        <v>0</v>
      </c>
      <c r="R11" s="445">
        <f t="shared" si="0"/>
        <v>107422</v>
      </c>
      <c r="S11" s="445">
        <f>IFERROR(INDEX(Table!$AF$7:$AK$35,Table!$B13,1),0)</f>
        <v>9995</v>
      </c>
      <c r="T11" s="445">
        <f>IFERROR(INDEX(Table!$AF$7:$AK$35,Table!$B13,2),0)</f>
        <v>3000</v>
      </c>
      <c r="U11" s="445">
        <f>IFERROR(INDEX(Table!$AF$7:$AK$35,Table!$B13,3),0)</f>
        <v>120</v>
      </c>
      <c r="V11" s="445">
        <f>IFERROR(INDEX(Table!$AF$7:$AK$35,Table!$B13,4),0)</f>
        <v>0</v>
      </c>
      <c r="W11" s="445">
        <f>IFERROR(INDEX(Table!$AF$7:$AJ$35,Table!$B13,5),0)</f>
        <v>0</v>
      </c>
      <c r="X11" s="445">
        <f>IFERROR(INDEX(Table!$AF$7:$AK$35,Table!$B13,6),0)</f>
        <v>0</v>
      </c>
      <c r="Y11" s="445">
        <f>IFERROR(IF(NOT(AG11=""),AG11,INDEX(Table!$AN$7:$AN$35,Table!$B13,1)),0)</f>
        <v>200</v>
      </c>
      <c r="Z11" s="445">
        <f>IFERROR(INDEX(Table!$AO$7:$AO$35,Table!$B13,1),0)</f>
        <v>0</v>
      </c>
      <c r="AA11" s="445">
        <f>IFERROR(INDEX(Table!$AP$7:$AP$35,Table!$B13,1),0)</f>
        <v>0</v>
      </c>
      <c r="AB11" s="445">
        <f t="shared" si="1"/>
        <v>94107</v>
      </c>
      <c r="AC11" s="446">
        <f>IFERROR(INDEX(Table!$P$7:$P$35,Table!$B13,1),0)</f>
        <v>33.67</v>
      </c>
      <c r="AD11" s="447">
        <f>IFERROR(INDEX(Table!$R$7:$R$35,Table!$B13,1),0)</f>
        <v>10</v>
      </c>
      <c r="AF11" s="440">
        <f t="shared" si="2"/>
        <v>1</v>
      </c>
      <c r="AG11" s="407"/>
    </row>
    <row r="12" spans="1:33" ht="19.149999999999999" customHeight="1" x14ac:dyDescent="0.25">
      <c r="A12" s="451">
        <f>IF(NOT(B12=""),SUM(MAX($A$5:A11)+1),"")</f>
        <v>8</v>
      </c>
      <c r="B12" s="444" t="str">
        <f>IFERROR(INDEX(Table!$I$7:$I$35,Table!$B14,1),"")</f>
        <v>01 to 31/Oct/2025</v>
      </c>
      <c r="C12" s="789" t="str">
        <f>IFERROR(IF(B12="","",INDEX(Table!$K$7:$K$35,Table!$B14,1)),0)</f>
        <v/>
      </c>
      <c r="D12" s="445">
        <f>IFERROR(INDEX(Table!$O$7:$O$35,Table!$B14,1),0)</f>
        <v>74770</v>
      </c>
      <c r="E12" s="445">
        <f>IFERROR(INDEX(Table!$Q$7:$Q$35,Table!$B14,1),0)</f>
        <v>27897</v>
      </c>
      <c r="F12" s="445">
        <f>IFERROR(INDEX(Table!$S$7:$S$35,Table!$B14,1),0)</f>
        <v>7477</v>
      </c>
      <c r="G12" s="445">
        <f>IFERROR(INDEX(Table!$T$7:$T$35,Table!$B14,1),0)</f>
        <v>0</v>
      </c>
      <c r="H12" s="445">
        <f>IFERROR(INDEX(Table!$U$7:$U$35,Table!$B14,1),0)</f>
        <v>0</v>
      </c>
      <c r="I12" s="445">
        <f>IFERROR(INDEX(Table!$V$7:$V$35,Table!$B14,1),0)</f>
        <v>0</v>
      </c>
      <c r="J12" s="445">
        <f>IFERROR(INDEX(Table!$W$7:$W$24,Table!$B14,1),0)</f>
        <v>0</v>
      </c>
      <c r="K12" s="445">
        <f>IFERROR(INDEX(Table!$X$7:$AC$35,Table!$B14,1),0)</f>
        <v>0</v>
      </c>
      <c r="L12" s="445">
        <f>IFERROR(INDEX(Table!$Y$7:$Y$35,Table!$B14,1),0)</f>
        <v>0</v>
      </c>
      <c r="M12" s="445">
        <f>IFERROR(INDEX(Table!$Z$7:$Z$35,Table!$B14,1),0)</f>
        <v>0</v>
      </c>
      <c r="N12" s="445">
        <f>IFERROR(INDEX(Table!$AA$7:$AC$35,Table!$B14,1),0)</f>
        <v>0</v>
      </c>
      <c r="O12" s="445">
        <f>IFERROR(INDEX(Table!$AA$7:$AC$35,Table!$B14,3),0)</f>
        <v>0</v>
      </c>
      <c r="P12" s="445">
        <f>IFERROR(INDEX(Table!$AA$7:$AC$35,Table!$B14,2),0)</f>
        <v>0</v>
      </c>
      <c r="Q12" s="445">
        <f>IFERROR(INDEX(Table!$AD$7:$AD$35,Table!$B14,1),0)</f>
        <v>0</v>
      </c>
      <c r="R12" s="445">
        <f t="shared" si="0"/>
        <v>110144</v>
      </c>
      <c r="S12" s="445">
        <f>IFERROR(INDEX(Table!$AF$7:$AK$35,Table!$B14,1),0)</f>
        <v>10267</v>
      </c>
      <c r="T12" s="445">
        <f>IFERROR(INDEX(Table!$AF$7:$AK$35,Table!$B14,2),0)</f>
        <v>3000</v>
      </c>
      <c r="U12" s="445">
        <f>IFERROR(INDEX(Table!$AF$7:$AK$35,Table!$B14,3),0)</f>
        <v>120</v>
      </c>
      <c r="V12" s="445">
        <f>IFERROR(INDEX(Table!$AF$7:$AK$35,Table!$B14,4),0)</f>
        <v>0</v>
      </c>
      <c r="W12" s="445">
        <f>IFERROR(INDEX(Table!$AF$7:$AJ$35,Table!$B14,5),0)</f>
        <v>0</v>
      </c>
      <c r="X12" s="445">
        <f>IFERROR(INDEX(Table!$AF$7:$AK$35,Table!$B14,6),0)</f>
        <v>0</v>
      </c>
      <c r="Y12" s="445">
        <f>IFERROR(IF(NOT(AG12=""),AG12,INDEX(Table!$AN$7:$AN$35,Table!$B14,1)),0)</f>
        <v>200</v>
      </c>
      <c r="Z12" s="445">
        <f>IFERROR(INDEX(Table!$AO$7:$AO$35,Table!$B14,1),0)</f>
        <v>0</v>
      </c>
      <c r="AA12" s="445">
        <f>IFERROR(INDEX(Table!$AP$7:$AP$35,Table!$B14,1),0)</f>
        <v>0</v>
      </c>
      <c r="AB12" s="445">
        <f t="shared" si="1"/>
        <v>96557</v>
      </c>
      <c r="AC12" s="446">
        <f>IFERROR(INDEX(Table!$P$7:$P$35,Table!$B14,1),0)</f>
        <v>37.31</v>
      </c>
      <c r="AD12" s="447">
        <f>IFERROR(INDEX(Table!$R$7:$R$35,Table!$B14,1),0)</f>
        <v>10</v>
      </c>
      <c r="AF12" s="440">
        <f t="shared" si="2"/>
        <v>1</v>
      </c>
      <c r="AG12" s="407"/>
    </row>
    <row r="13" spans="1:33" ht="19.149999999999999" customHeight="1" x14ac:dyDescent="0.25">
      <c r="A13" s="451">
        <f>IF(NOT(B13=""),SUM(MAX($A$5:A12)+1),"")</f>
        <v>9</v>
      </c>
      <c r="B13" s="444" t="str">
        <f>IFERROR(INDEX(Table!$I$7:$I$35,Table!$B15,1),"")</f>
        <v>01 to 30/Nov/2025</v>
      </c>
      <c r="C13" s="789" t="str">
        <f>IFERROR(IF(B13="","",INDEX(Table!$K$7:$K$35,Table!$B15,1)),0)</f>
        <v/>
      </c>
      <c r="D13" s="445">
        <f>IFERROR(INDEX(Table!$O$7:$O$35,Table!$B15,1),0)</f>
        <v>74770</v>
      </c>
      <c r="E13" s="445">
        <f>IFERROR(INDEX(Table!$Q$7:$Q$35,Table!$B15,1),0)</f>
        <v>27897</v>
      </c>
      <c r="F13" s="445">
        <f>IFERROR(INDEX(Table!$S$7:$S$35,Table!$B15,1),0)</f>
        <v>7477</v>
      </c>
      <c r="G13" s="445">
        <f>IFERROR(INDEX(Table!$T$7:$T$35,Table!$B15,1),0)</f>
        <v>0</v>
      </c>
      <c r="H13" s="445">
        <f>IFERROR(INDEX(Table!$U$7:$U$35,Table!$B15,1),0)</f>
        <v>0</v>
      </c>
      <c r="I13" s="445">
        <f>IFERROR(INDEX(Table!$V$7:$V$35,Table!$B15,1),0)</f>
        <v>0</v>
      </c>
      <c r="J13" s="445">
        <f>IFERROR(INDEX(Table!$W$7:$W$24,Table!$B15,1),0)</f>
        <v>0</v>
      </c>
      <c r="K13" s="445">
        <f>IFERROR(INDEX(Table!$X$7:$AC$35,Table!$B15,1),0)</f>
        <v>0</v>
      </c>
      <c r="L13" s="445">
        <f>IFERROR(INDEX(Table!$Y$7:$Y$35,Table!$B15,1),0)</f>
        <v>0</v>
      </c>
      <c r="M13" s="445">
        <f>IFERROR(INDEX(Table!$Z$7:$Z$35,Table!$B15,1),0)</f>
        <v>0</v>
      </c>
      <c r="N13" s="445">
        <f>IFERROR(INDEX(Table!$AA$7:$AC$35,Table!$B15,1),0)</f>
        <v>0</v>
      </c>
      <c r="O13" s="445">
        <f>IFERROR(INDEX(Table!$AA$7:$AC$35,Table!$B15,3),0)</f>
        <v>0</v>
      </c>
      <c r="P13" s="445">
        <f>IFERROR(INDEX(Table!$AA$7:$AC$35,Table!$B15,2),0)</f>
        <v>0</v>
      </c>
      <c r="Q13" s="445">
        <f>IFERROR(INDEX(Table!$AD$7:$AD$35,Table!$B15,1),0)</f>
        <v>0</v>
      </c>
      <c r="R13" s="445">
        <f t="shared" si="0"/>
        <v>110144</v>
      </c>
      <c r="S13" s="445">
        <f>IFERROR(INDEX(Table!$AF$7:$AK$35,Table!$B15,1),0)</f>
        <v>10267</v>
      </c>
      <c r="T13" s="445">
        <f>IFERROR(INDEX(Table!$AF$7:$AK$35,Table!$B15,2),0)</f>
        <v>3000</v>
      </c>
      <c r="U13" s="445">
        <f>IFERROR(INDEX(Table!$AF$7:$AK$35,Table!$B15,3),0)</f>
        <v>120</v>
      </c>
      <c r="V13" s="445">
        <f>IFERROR(INDEX(Table!$AF$7:$AK$35,Table!$B15,4),0)</f>
        <v>0</v>
      </c>
      <c r="W13" s="445">
        <f>IFERROR(INDEX(Table!$AF$7:$AJ$35,Table!$B15,5),0)</f>
        <v>0</v>
      </c>
      <c r="X13" s="445">
        <f>IFERROR(INDEX(Table!$AF$7:$AK$35,Table!$B15,6),0)</f>
        <v>0</v>
      </c>
      <c r="Y13" s="445">
        <f>IFERROR(IF(NOT(AG13=""),AG13,INDEX(Table!$AN$7:$AN$35,Table!$B15,1)),0)</f>
        <v>200</v>
      </c>
      <c r="Z13" s="445">
        <f>IFERROR(INDEX(Table!$AO$7:$AO$35,Table!$B15,1),0)</f>
        <v>0</v>
      </c>
      <c r="AA13" s="445">
        <f>IFERROR(INDEX(Table!$AP$7:$AP$35,Table!$B15,1),0)</f>
        <v>0</v>
      </c>
      <c r="AB13" s="445">
        <f t="shared" si="1"/>
        <v>96557</v>
      </c>
      <c r="AC13" s="446">
        <f>IFERROR(INDEX(Table!$P$7:$P$35,Table!$B15,1),0)</f>
        <v>37.31</v>
      </c>
      <c r="AD13" s="447">
        <f>IFERROR(INDEX(Table!$R$7:$R$35,Table!$B15,1),0)</f>
        <v>10</v>
      </c>
      <c r="AF13" s="440">
        <f t="shared" si="2"/>
        <v>1</v>
      </c>
      <c r="AG13" s="407"/>
    </row>
    <row r="14" spans="1:33" ht="19.149999999999999" customHeight="1" x14ac:dyDescent="0.25">
      <c r="A14" s="451">
        <f>IF(NOT(B14=""),SUM(MAX($A$5:A13)+1),"")</f>
        <v>10</v>
      </c>
      <c r="B14" s="444" t="str">
        <f>IFERROR(INDEX(Table!$I$7:$I$35,Table!$B16,1),"")</f>
        <v>01 to 31/Dec/2025</v>
      </c>
      <c r="C14" s="789" t="str">
        <f>IFERROR(IF(B14="","",INDEX(Table!$K$7:$K$35,Table!$B16,1)),0)</f>
        <v/>
      </c>
      <c r="D14" s="445">
        <f>IFERROR(INDEX(Table!$O$7:$O$35,Table!$B16,1),0)</f>
        <v>74770</v>
      </c>
      <c r="E14" s="445">
        <f>IFERROR(INDEX(Table!$Q$7:$Q$35,Table!$B16,1),0)</f>
        <v>27897</v>
      </c>
      <c r="F14" s="445">
        <f>IFERROR(INDEX(Table!$S$7:$S$35,Table!$B16,1),0)</f>
        <v>7477</v>
      </c>
      <c r="G14" s="445">
        <f>IFERROR(INDEX(Table!$T$7:$T$35,Table!$B16,1),0)</f>
        <v>0</v>
      </c>
      <c r="H14" s="445">
        <f>IFERROR(INDEX(Table!$U$7:$U$35,Table!$B16,1),0)</f>
        <v>0</v>
      </c>
      <c r="I14" s="445">
        <f>IFERROR(INDEX(Table!$V$7:$V$35,Table!$B16,1),0)</f>
        <v>0</v>
      </c>
      <c r="J14" s="445">
        <f>IFERROR(INDEX(Table!$W$7:$W$24,Table!$B16,1),0)</f>
        <v>0</v>
      </c>
      <c r="K14" s="445">
        <f>IFERROR(INDEX(Table!$X$7:$AC$35,Table!$B16,1),0)</f>
        <v>0</v>
      </c>
      <c r="L14" s="445">
        <f>IFERROR(INDEX(Table!$Y$7:$Y$35,Table!$B16,1),0)</f>
        <v>0</v>
      </c>
      <c r="M14" s="445">
        <f>IFERROR(INDEX(Table!$Z$7:$Z$35,Table!$B16,1),0)</f>
        <v>0</v>
      </c>
      <c r="N14" s="445">
        <f>IFERROR(INDEX(Table!$AA$7:$AC$35,Table!$B16,1),0)</f>
        <v>0</v>
      </c>
      <c r="O14" s="445">
        <f>IFERROR(INDEX(Table!$AA$7:$AC$35,Table!$B16,3),0)</f>
        <v>0</v>
      </c>
      <c r="P14" s="445">
        <f>IFERROR(INDEX(Table!$AA$7:$AC$35,Table!$B16,2),0)</f>
        <v>0</v>
      </c>
      <c r="Q14" s="445">
        <f>IFERROR(INDEX(Table!$AD$7:$AD$35,Table!$B16,1),0)</f>
        <v>0</v>
      </c>
      <c r="R14" s="445">
        <f t="shared" si="0"/>
        <v>110144</v>
      </c>
      <c r="S14" s="445">
        <f>IFERROR(INDEX(Table!$AF$7:$AK$35,Table!$B16,1),0)</f>
        <v>10267</v>
      </c>
      <c r="T14" s="445">
        <f>IFERROR(INDEX(Table!$AF$7:$AK$35,Table!$B16,2),0)</f>
        <v>3000</v>
      </c>
      <c r="U14" s="445">
        <f>IFERROR(INDEX(Table!$AF$7:$AK$35,Table!$B16,3),0)</f>
        <v>120</v>
      </c>
      <c r="V14" s="445">
        <f>IFERROR(INDEX(Table!$AF$7:$AK$35,Table!$B16,4),0)</f>
        <v>0</v>
      </c>
      <c r="W14" s="445">
        <f>IFERROR(INDEX(Table!$AF$7:$AJ$35,Table!$B16,5),0)</f>
        <v>0</v>
      </c>
      <c r="X14" s="445">
        <f>IFERROR(INDEX(Table!$AF$7:$AK$35,Table!$B16,6),0)</f>
        <v>100</v>
      </c>
      <c r="Y14" s="445">
        <f>IFERROR(IF(NOT(AG14=""),AG14,INDEX(Table!$AN$7:$AN$35,Table!$B16,1)),0)</f>
        <v>200</v>
      </c>
      <c r="Z14" s="445">
        <f>IFERROR(INDEX(Table!$AO$7:$AO$35,Table!$B16,1),0)</f>
        <v>0</v>
      </c>
      <c r="AA14" s="445">
        <f>IFERROR(INDEX(Table!$AP$7:$AP$35,Table!$B16,1),0)</f>
        <v>0</v>
      </c>
      <c r="AB14" s="445">
        <f t="shared" si="1"/>
        <v>96457</v>
      </c>
      <c r="AC14" s="446">
        <f>IFERROR(INDEX(Table!$P$7:$P$35,Table!$B16,1),0)</f>
        <v>37.31</v>
      </c>
      <c r="AD14" s="447">
        <f>IFERROR(INDEX(Table!$R$7:$R$35,Table!$B16,1),0)</f>
        <v>10</v>
      </c>
      <c r="AF14" s="440">
        <f t="shared" si="2"/>
        <v>1</v>
      </c>
      <c r="AG14" s="407"/>
    </row>
    <row r="15" spans="1:33" ht="19.149999999999999" customHeight="1" x14ac:dyDescent="0.25">
      <c r="A15" s="451">
        <f>IF(NOT(B15=""),SUM(MAX($A$5:A14)+1),"")</f>
        <v>11</v>
      </c>
      <c r="B15" s="444" t="str">
        <f>IFERROR(INDEX(Table!$I$7:$I$35,Table!$B17,1),"")</f>
        <v>01 to 31/Jan/2026</v>
      </c>
      <c r="C15" s="789" t="str">
        <f>IFERROR(IF(B15="","",INDEX(Table!$K$7:$K$35,Table!$B17,1)),0)</f>
        <v/>
      </c>
      <c r="D15" s="445">
        <f>IFERROR(INDEX(Table!$O$7:$O$35,Table!$B17,1),0)</f>
        <v>74770</v>
      </c>
      <c r="E15" s="445">
        <f>IFERROR(INDEX(Table!$Q$7:$Q$35,Table!$B17,1),0)</f>
        <v>27897</v>
      </c>
      <c r="F15" s="445">
        <f>IFERROR(INDEX(Table!$S$7:$S$35,Table!$B17,1),0)</f>
        <v>7477</v>
      </c>
      <c r="G15" s="445">
        <f>IFERROR(INDEX(Table!$T$7:$T$35,Table!$B17,1),0)</f>
        <v>0</v>
      </c>
      <c r="H15" s="445">
        <f>IFERROR(INDEX(Table!$U$7:$U$35,Table!$B17,1),0)</f>
        <v>0</v>
      </c>
      <c r="I15" s="445">
        <f>IFERROR(INDEX(Table!$V$7:$V$35,Table!$B17,1),0)</f>
        <v>0</v>
      </c>
      <c r="J15" s="445">
        <f>IFERROR(INDEX(Table!$W$7:$W$24,Table!$B17,1),0)</f>
        <v>0</v>
      </c>
      <c r="K15" s="445">
        <f>IFERROR(INDEX(Table!$X$7:$AC$35,Table!$B17,1),0)</f>
        <v>0</v>
      </c>
      <c r="L15" s="445">
        <f>IFERROR(INDEX(Table!$Y$7:$Y$35,Table!$B17,1),0)</f>
        <v>0</v>
      </c>
      <c r="M15" s="445">
        <f>IFERROR(INDEX(Table!$Z$7:$Z$35,Table!$B17,1),0)</f>
        <v>0</v>
      </c>
      <c r="N15" s="445">
        <f>IFERROR(INDEX(Table!$AA$7:$AC$35,Table!$B17,1),0)</f>
        <v>0</v>
      </c>
      <c r="O15" s="445">
        <f>IFERROR(INDEX(Table!$AA$7:$AC$35,Table!$B17,3),0)</f>
        <v>0</v>
      </c>
      <c r="P15" s="445">
        <f>IFERROR(INDEX(Table!$AA$7:$AC$35,Table!$B17,2),0)</f>
        <v>0</v>
      </c>
      <c r="Q15" s="445">
        <f>IFERROR(INDEX(Table!$AD$7:$AD$35,Table!$B17,1),0)</f>
        <v>0</v>
      </c>
      <c r="R15" s="445">
        <f t="shared" si="0"/>
        <v>110144</v>
      </c>
      <c r="S15" s="445">
        <f>IFERROR(INDEX(Table!$AF$7:$AK$35,Table!$B17,1),0)</f>
        <v>10267</v>
      </c>
      <c r="T15" s="445">
        <f>IFERROR(INDEX(Table!$AF$7:$AK$35,Table!$B17,2),0)</f>
        <v>3000</v>
      </c>
      <c r="U15" s="445">
        <f>IFERROR(INDEX(Table!$AF$7:$AK$35,Table!$B17,3),0)</f>
        <v>120</v>
      </c>
      <c r="V15" s="445">
        <f>IFERROR(INDEX(Table!$AF$7:$AK$35,Table!$B17,4),0)</f>
        <v>0</v>
      </c>
      <c r="W15" s="445">
        <f>IFERROR(INDEX(Table!$AF$7:$AJ$35,Table!$B17,5),0)</f>
        <v>0</v>
      </c>
      <c r="X15" s="445">
        <f>IFERROR(INDEX(Table!$AF$7:$AK$35,Table!$B17,6),0)</f>
        <v>0</v>
      </c>
      <c r="Y15" s="445">
        <f>IFERROR(IF(NOT(AG15=""),AG15,INDEX(Table!$AN$7:$AN$35,Table!$B17,1)),0)</f>
        <v>200</v>
      </c>
      <c r="Z15" s="445">
        <f>IFERROR(INDEX(Table!$AO$7:$AO$35,Table!$B17,1),0)</f>
        <v>0</v>
      </c>
      <c r="AA15" s="445">
        <f>IFERROR(INDEX(Table!$AP$7:$AP$35,Table!$B17,1),0)</f>
        <v>0</v>
      </c>
      <c r="AB15" s="445">
        <f t="shared" si="1"/>
        <v>96557</v>
      </c>
      <c r="AC15" s="446">
        <f>IFERROR(INDEX(Table!$P$7:$P$35,Table!$B17,1),0)</f>
        <v>37.31</v>
      </c>
      <c r="AD15" s="447">
        <f>IFERROR(INDEX(Table!$R$7:$R$35,Table!$B17,1),0)</f>
        <v>10</v>
      </c>
      <c r="AF15" s="440">
        <f t="shared" si="2"/>
        <v>1</v>
      </c>
      <c r="AG15" s="407"/>
    </row>
    <row r="16" spans="1:33" ht="19.149999999999999" customHeight="1" x14ac:dyDescent="0.25">
      <c r="A16" s="451">
        <f>IF(NOT(B16=""),SUM(MAX($A$5:A15)+1),"")</f>
        <v>12</v>
      </c>
      <c r="B16" s="444" t="str">
        <f>IFERROR(INDEX(Table!$I$7:$I$35,Table!$B18,1),"")</f>
        <v>01 to 28/Feb/2026</v>
      </c>
      <c r="C16" s="789" t="str">
        <f>IFERROR(IF(B16="","",INDEX(Table!$K$7:$K$35,Table!$B18,1)),0)</f>
        <v/>
      </c>
      <c r="D16" s="445">
        <f>IFERROR(INDEX(Table!$O$7:$O$35,Table!$B18,1),0)</f>
        <v>74770</v>
      </c>
      <c r="E16" s="445">
        <f>IFERROR(INDEX(Table!$Q$7:$Q$35,Table!$B18,1),0)</f>
        <v>27897</v>
      </c>
      <c r="F16" s="445">
        <f>IFERROR(INDEX(Table!$S$7:$S$35,Table!$B18,1),0)</f>
        <v>7477</v>
      </c>
      <c r="G16" s="445">
        <f>IFERROR(INDEX(Table!$T$7:$T$35,Table!$B18,1),0)</f>
        <v>0</v>
      </c>
      <c r="H16" s="445">
        <f>IFERROR(INDEX(Table!$U$7:$U$35,Table!$B18,1),0)</f>
        <v>0</v>
      </c>
      <c r="I16" s="445">
        <f>IFERROR(INDEX(Table!$V$7:$V$35,Table!$B18,1),0)</f>
        <v>0</v>
      </c>
      <c r="J16" s="445">
        <f>IFERROR(INDEX(Table!$W$7:$W$24,Table!$B18,1),0)</f>
        <v>0</v>
      </c>
      <c r="K16" s="445">
        <f>IFERROR(INDEX(Table!$X$7:$AC$35,Table!$B18,1),0)</f>
        <v>0</v>
      </c>
      <c r="L16" s="445">
        <f>IFERROR(INDEX(Table!$Y$7:$Y$35,Table!$B18,1),0)</f>
        <v>0</v>
      </c>
      <c r="M16" s="445">
        <f>IFERROR(INDEX(Table!$Z$7:$Z$35,Table!$B18,1),0)</f>
        <v>0</v>
      </c>
      <c r="N16" s="445">
        <f>IFERROR(INDEX(Table!$AA$7:$AC$35,Table!$B18,1),0)</f>
        <v>0</v>
      </c>
      <c r="O16" s="445">
        <f>IFERROR(INDEX(Table!$AA$7:$AC$35,Table!$B18,3),0)</f>
        <v>0</v>
      </c>
      <c r="P16" s="445">
        <f>IFERROR(INDEX(Table!$AA$7:$AC$35,Table!$B18,2),0)</f>
        <v>0</v>
      </c>
      <c r="Q16" s="445">
        <f>IFERROR(INDEX(Table!$AD$7:$AD$35,Table!$B18,1),0)</f>
        <v>0</v>
      </c>
      <c r="R16" s="445">
        <f t="shared" si="0"/>
        <v>110144</v>
      </c>
      <c r="S16" s="445">
        <f>IFERROR(INDEX(Table!$AF$7:$AK$35,Table!$B18,1),0)</f>
        <v>10267</v>
      </c>
      <c r="T16" s="445">
        <f>IFERROR(INDEX(Table!$AF$7:$AK$35,Table!$B18,2),0)</f>
        <v>3000</v>
      </c>
      <c r="U16" s="445">
        <f>IFERROR(INDEX(Table!$AF$7:$AK$35,Table!$B18,3),0)</f>
        <v>120</v>
      </c>
      <c r="V16" s="445">
        <f>IFERROR(INDEX(Table!$AF$7:$AK$35,Table!$B18,4),0)</f>
        <v>0</v>
      </c>
      <c r="W16" s="445">
        <f>IFERROR(INDEX(Table!$AF$7:$AJ$35,Table!$B18,5),0)</f>
        <v>0</v>
      </c>
      <c r="X16" s="445">
        <f>IFERROR(INDEX(Table!$AF$7:$AK$35,Table!$B18,6),0)</f>
        <v>0</v>
      </c>
      <c r="Y16" s="445">
        <f>IFERROR(IF(NOT(AG16=""),AG16,INDEX(Table!$AN$7:$AN$35,Table!$B18,1)),0)</f>
        <v>200</v>
      </c>
      <c r="Z16" s="445">
        <f>IFERROR(INDEX(Table!$AO$7:$AO$35,Table!$B18,1),0)</f>
        <v>0</v>
      </c>
      <c r="AA16" s="445">
        <f>IFERROR(INDEX(Table!$AP$7:$AP$35,Table!$B18,1),0)</f>
        <v>0</v>
      </c>
      <c r="AB16" s="445">
        <f t="shared" si="1"/>
        <v>96557</v>
      </c>
      <c r="AC16" s="446">
        <f>IFERROR(INDEX(Table!$P$7:$P$35,Table!$B18,1),0)</f>
        <v>37.31</v>
      </c>
      <c r="AD16" s="447">
        <f>IFERROR(INDEX(Table!$R$7:$R$35,Table!$B18,1),0)</f>
        <v>10</v>
      </c>
      <c r="AF16" s="440">
        <f t="shared" si="2"/>
        <v>1</v>
      </c>
      <c r="AG16" s="407"/>
    </row>
    <row r="17" spans="1:33" ht="22.9" customHeight="1" x14ac:dyDescent="0.25">
      <c r="A17" s="451" t="str">
        <f>IF(NOT(B17=""),SUM(MAX($A$5:A16)+1),"")</f>
        <v/>
      </c>
      <c r="B17" s="444" t="str">
        <f>IFERROR(INDEX(Table!$I$7:$I$35,Table!$B19,1),"")</f>
        <v/>
      </c>
      <c r="C17" s="789" t="str">
        <f>IFERROR(IF(B17="","",INDEX(Table!$K$7:$K$35,Table!$B19,1)),0)</f>
        <v/>
      </c>
      <c r="D17" s="445">
        <f>IFERROR(INDEX(Table!$O$7:$O$35,Table!$B19,1),0)</f>
        <v>0</v>
      </c>
      <c r="E17" s="445">
        <f>IFERROR(INDEX(Table!$Q$7:$Q$35,Table!$B19,1),0)</f>
        <v>0</v>
      </c>
      <c r="F17" s="445">
        <f>IFERROR(INDEX(Table!$S$7:$S$35,Table!$B19,1),0)</f>
        <v>0</v>
      </c>
      <c r="G17" s="445">
        <f>IFERROR(INDEX(Table!$T$7:$T$35,Table!$B19,1),0)</f>
        <v>0</v>
      </c>
      <c r="H17" s="445">
        <f>IFERROR(INDEX(Table!$U$7:$U$35,Table!$B19,1),0)</f>
        <v>0</v>
      </c>
      <c r="I17" s="445">
        <f>IFERROR(INDEX(Table!$V$7:$V$35,Table!$B19,1),0)</f>
        <v>0</v>
      </c>
      <c r="J17" s="445">
        <f>IFERROR(INDEX(Table!$W$7:$W$24,Table!$B19,1),0)</f>
        <v>0</v>
      </c>
      <c r="K17" s="445">
        <f>IFERROR(INDEX(Table!$X$7:$AC$35,Table!$B19,1),0)</f>
        <v>0</v>
      </c>
      <c r="L17" s="445">
        <f>IFERROR(INDEX(Table!$Y$7:$Y$35,Table!$B19,1),0)</f>
        <v>0</v>
      </c>
      <c r="M17" s="445">
        <f>IFERROR(INDEX(Table!$Z$7:$Z$35,Table!$B19,1),0)</f>
        <v>0</v>
      </c>
      <c r="N17" s="445">
        <f>IFERROR(INDEX(Table!$AA$7:$AC$35,Table!$B19,1),0)</f>
        <v>0</v>
      </c>
      <c r="O17" s="445">
        <f>IFERROR(INDEX(Table!$AA$7:$AC$35,Table!$B19,3),0)</f>
        <v>0</v>
      </c>
      <c r="P17" s="445">
        <f>IFERROR(INDEX(Table!$AA$7:$AC$35,Table!$B19,2),0)</f>
        <v>0</v>
      </c>
      <c r="Q17" s="445">
        <f>IFERROR(INDEX(Table!$AD$7:$AD$35,Table!$B19,1),0)</f>
        <v>0</v>
      </c>
      <c r="R17" s="445">
        <f t="shared" si="0"/>
        <v>0</v>
      </c>
      <c r="S17" s="445">
        <f>IFERROR(INDEX(Table!$AF$7:$AK$35,Table!$B19,1),0)</f>
        <v>0</v>
      </c>
      <c r="T17" s="445">
        <f>IFERROR(INDEX(Table!$AF$7:$AK$35,Table!$B19,2),0)</f>
        <v>0</v>
      </c>
      <c r="U17" s="445">
        <f>IFERROR(INDEX(Table!$AF$7:$AK$35,Table!$B19,3),0)</f>
        <v>0</v>
      </c>
      <c r="V17" s="445">
        <f>IFERROR(INDEX(Table!$AF$7:$AK$35,Table!$B19,4),0)</f>
        <v>0</v>
      </c>
      <c r="W17" s="445">
        <f>IFERROR(INDEX(Table!$AF$7:$AJ$35,Table!$B19,5),0)</f>
        <v>0</v>
      </c>
      <c r="X17" s="445">
        <f>IFERROR(INDEX(Table!$AF$7:$AK$35,Table!$B19,6),0)</f>
        <v>0</v>
      </c>
      <c r="Y17" s="445">
        <f>IFERROR(IF(NOT(AG17=""),AG17,INDEX(Table!$AN$7:$AN$35,Table!$B19,1)),0)</f>
        <v>0</v>
      </c>
      <c r="Z17" s="445">
        <f>IFERROR(INDEX(Table!$AO$7:$AO$35,Table!$B19,1),0)</f>
        <v>0</v>
      </c>
      <c r="AA17" s="445">
        <f>IFERROR(INDEX(Table!$AP$7:$AP$35,Table!$B19,1),0)</f>
        <v>0</v>
      </c>
      <c r="AB17" s="445">
        <f t="shared" si="1"/>
        <v>0</v>
      </c>
      <c r="AC17" s="446">
        <f>IFERROR(INDEX(Table!$P$7:$P$35,Table!$B19,1),0)</f>
        <v>0</v>
      </c>
      <c r="AD17" s="447">
        <f>IFERROR(INDEX(Table!$R$7:$R$35,Table!$B19,1),0)</f>
        <v>0</v>
      </c>
      <c r="AF17" s="440">
        <f t="shared" si="2"/>
        <v>1</v>
      </c>
      <c r="AG17" s="407"/>
    </row>
    <row r="18" spans="1:33" ht="22.9" customHeight="1" x14ac:dyDescent="0.25">
      <c r="A18" s="451" t="str">
        <f>IF(NOT(B18=""),SUM(MAX($A$5:A17)+1),"")</f>
        <v/>
      </c>
      <c r="B18" s="444" t="str">
        <f>IFERROR(INDEX(Table!$I$7:$I$35,Table!$B20,1),"")</f>
        <v/>
      </c>
      <c r="C18" s="789" t="str">
        <f>IFERROR(IF(B18="","",INDEX(Table!$K$7:$K$35,Table!$B20,1)),0)</f>
        <v/>
      </c>
      <c r="D18" s="445">
        <f>IFERROR(INDEX(Table!$O$7:$O$35,Table!$B20,1),0)</f>
        <v>0</v>
      </c>
      <c r="E18" s="445">
        <f>IFERROR(INDEX(Table!$Q$7:$Q$35,Table!$B20,1),0)</f>
        <v>0</v>
      </c>
      <c r="F18" s="445">
        <f>IFERROR(INDEX(Table!$S$7:$S$35,Table!$B20,1),0)</f>
        <v>0</v>
      </c>
      <c r="G18" s="445">
        <f>IFERROR(INDEX(Table!$T$7:$T$35,Table!$B20,1),0)</f>
        <v>0</v>
      </c>
      <c r="H18" s="445">
        <f>IFERROR(INDEX(Table!$U$7:$U$35,Table!$B20,1),0)</f>
        <v>0</v>
      </c>
      <c r="I18" s="445">
        <f>IFERROR(INDEX(Table!$V$7:$V$35,Table!$B20,1),0)</f>
        <v>0</v>
      </c>
      <c r="J18" s="445">
        <f>IFERROR(INDEX(Table!$W$7:$W$24,Table!$B20,1),0)</f>
        <v>0</v>
      </c>
      <c r="K18" s="445">
        <f>IFERROR(INDEX(Table!$X$7:$AC$35,Table!$B20,1),0)</f>
        <v>0</v>
      </c>
      <c r="L18" s="445">
        <f>IFERROR(INDEX(Table!$Y$7:$Y$35,Table!$B20,1),0)</f>
        <v>0</v>
      </c>
      <c r="M18" s="445">
        <f>IFERROR(INDEX(Table!$Z$7:$Z$35,Table!$B20,1),0)</f>
        <v>0</v>
      </c>
      <c r="N18" s="445">
        <f>IFERROR(INDEX(Table!$AA$7:$AC$35,Table!$B20,1),0)</f>
        <v>0</v>
      </c>
      <c r="O18" s="445">
        <f>IFERROR(INDEX(Table!$AA$7:$AC$35,Table!$B20,3),0)</f>
        <v>0</v>
      </c>
      <c r="P18" s="445">
        <f>IFERROR(INDEX(Table!$AA$7:$AC$35,Table!$B20,2),0)</f>
        <v>0</v>
      </c>
      <c r="Q18" s="445">
        <f>IFERROR(INDEX(Table!$AD$7:$AD$35,Table!$B20,1),0)</f>
        <v>0</v>
      </c>
      <c r="R18" s="445">
        <f t="shared" si="0"/>
        <v>0</v>
      </c>
      <c r="S18" s="445">
        <f>IFERROR(INDEX(Table!$AF$7:$AK$35,Table!$B20,1),0)</f>
        <v>0</v>
      </c>
      <c r="T18" s="445">
        <f>IFERROR(INDEX(Table!$AF$7:$AK$35,Table!$B20,2),0)</f>
        <v>0</v>
      </c>
      <c r="U18" s="445">
        <f>IFERROR(INDEX(Table!$AF$7:$AK$35,Table!$B20,3),0)</f>
        <v>0</v>
      </c>
      <c r="V18" s="445">
        <f>IFERROR(INDEX(Table!$AF$7:$AK$35,Table!$B20,4),0)</f>
        <v>0</v>
      </c>
      <c r="W18" s="445">
        <f>IFERROR(INDEX(Table!$AF$7:$AJ$35,Table!$B20,5),0)</f>
        <v>0</v>
      </c>
      <c r="X18" s="445">
        <f>IFERROR(INDEX(Table!$AF$7:$AK$35,Table!$B20,6),0)</f>
        <v>0</v>
      </c>
      <c r="Y18" s="445">
        <f>IFERROR(IF(NOT(AG18=""),AG18,INDEX(Table!$AN$7:$AN$35,Table!$B20,1)),0)</f>
        <v>0</v>
      </c>
      <c r="Z18" s="445">
        <f>IFERROR(INDEX(Table!$AO$7:$AO$35,Table!$B20,1),0)</f>
        <v>0</v>
      </c>
      <c r="AA18" s="445">
        <f>IFERROR(INDEX(Table!$AP$7:$AP$35,Table!$B20,1),0)</f>
        <v>0</v>
      </c>
      <c r="AB18" s="445">
        <f t="shared" si="1"/>
        <v>0</v>
      </c>
      <c r="AC18" s="446">
        <f>IFERROR(INDEX(Table!$P$7:$P$35,Table!$B20,1),0)</f>
        <v>0</v>
      </c>
      <c r="AD18" s="447">
        <f>IFERROR(INDEX(Table!$R$7:$R$35,Table!$B20,1),0)</f>
        <v>0</v>
      </c>
      <c r="AF18" s="440" t="str">
        <f t="shared" si="2"/>
        <v/>
      </c>
      <c r="AG18" s="407"/>
    </row>
    <row r="19" spans="1:33" ht="22.9" customHeight="1" x14ac:dyDescent="0.25">
      <c r="A19" s="451" t="str">
        <f>IF(NOT(B19=""),SUM(MAX($A$5:A18)+1),"")</f>
        <v/>
      </c>
      <c r="B19" s="444" t="str">
        <f>IFERROR(INDEX(Table!$I$7:$I$35,Table!$B21,1),"")</f>
        <v/>
      </c>
      <c r="C19" s="789" t="str">
        <f>IFERROR(IF(B19="","",INDEX(Table!$K$7:$K$35,Table!$B21,1)),0)</f>
        <v/>
      </c>
      <c r="D19" s="445">
        <f>IFERROR(INDEX(Table!$O$7:$O$35,Table!$B21,1),0)</f>
        <v>0</v>
      </c>
      <c r="E19" s="445">
        <f>IFERROR(INDEX(Table!$Q$7:$Q$35,Table!$B21,1),0)</f>
        <v>0</v>
      </c>
      <c r="F19" s="445">
        <f>IFERROR(INDEX(Table!$S$7:$S$35,Table!$B21,1),0)</f>
        <v>0</v>
      </c>
      <c r="G19" s="445">
        <f>IFERROR(INDEX(Table!$T$7:$T$35,Table!$B21,1),0)</f>
        <v>0</v>
      </c>
      <c r="H19" s="445">
        <f>IFERROR(INDEX(Table!$U$7:$U$35,Table!$B21,1),0)</f>
        <v>0</v>
      </c>
      <c r="I19" s="445">
        <f>IFERROR(INDEX(Table!$V$7:$V$35,Table!$B21,1),0)</f>
        <v>0</v>
      </c>
      <c r="J19" s="445">
        <f>IFERROR(INDEX(Table!$W$7:$W$24,Table!$B21,1),0)</f>
        <v>0</v>
      </c>
      <c r="K19" s="445">
        <f>IFERROR(INDEX(Table!$X$7:$AC$35,Table!$B21,1),0)</f>
        <v>0</v>
      </c>
      <c r="L19" s="445">
        <f>IFERROR(INDEX(Table!$Y$7:$Y$35,Table!$B21,1),0)</f>
        <v>0</v>
      </c>
      <c r="M19" s="445">
        <f>IFERROR(INDEX(Table!$Z$7:$Z$35,Table!$B21,1),0)</f>
        <v>0</v>
      </c>
      <c r="N19" s="445">
        <f>IFERROR(INDEX(Table!$AA$7:$AC$35,Table!$B21,1),0)</f>
        <v>0</v>
      </c>
      <c r="O19" s="445">
        <f>IFERROR(INDEX(Table!$AA$7:$AC$35,Table!$B21,3),0)</f>
        <v>0</v>
      </c>
      <c r="P19" s="445">
        <f>IFERROR(INDEX(Table!$AA$7:$AC$35,Table!$B21,2),0)</f>
        <v>0</v>
      </c>
      <c r="Q19" s="445">
        <f>IFERROR(INDEX(Table!$AD$7:$AD$35,Table!$B21,1),0)</f>
        <v>0</v>
      </c>
      <c r="R19" s="445">
        <f t="shared" si="0"/>
        <v>0</v>
      </c>
      <c r="S19" s="445">
        <f>IFERROR(INDEX(Table!$AF$7:$AK$35,Table!$B21,1),0)</f>
        <v>0</v>
      </c>
      <c r="T19" s="445">
        <f>IFERROR(INDEX(Table!$AF$7:$AK$35,Table!$B21,2),0)</f>
        <v>0</v>
      </c>
      <c r="U19" s="445">
        <f>IFERROR(INDEX(Table!$AF$7:$AK$35,Table!$B21,3),0)</f>
        <v>0</v>
      </c>
      <c r="V19" s="445">
        <f>IFERROR(INDEX(Table!$AF$7:$AK$35,Table!$B21,4),0)</f>
        <v>0</v>
      </c>
      <c r="W19" s="445">
        <f>IFERROR(INDEX(Table!$AF$7:$AJ$35,Table!$B21,5),0)</f>
        <v>0</v>
      </c>
      <c r="X19" s="445">
        <f>IFERROR(INDEX(Table!$AF$7:$AK$35,Table!$B21,6),0)</f>
        <v>0</v>
      </c>
      <c r="Y19" s="445">
        <f>IFERROR(IF(NOT(AG19=""),AG19,INDEX(Table!$AN$7:$AN$35,Table!$B21,1)),0)</f>
        <v>0</v>
      </c>
      <c r="Z19" s="445">
        <f>IFERROR(INDEX(Table!$AO$7:$AO$35,Table!$B21,1),0)</f>
        <v>0</v>
      </c>
      <c r="AA19" s="445">
        <f>IFERROR(INDEX(Table!$AP$7:$AP$35,Table!$B21,1),0)</f>
        <v>0</v>
      </c>
      <c r="AB19" s="445">
        <f t="shared" si="1"/>
        <v>0</v>
      </c>
      <c r="AC19" s="446">
        <f>IFERROR(INDEX(Table!$P$7:$P$35,Table!$B21,1),0)</f>
        <v>0</v>
      </c>
      <c r="AD19" s="447">
        <f>IFERROR(INDEX(Table!$R$7:$R$35,Table!$B21,1),0)</f>
        <v>0</v>
      </c>
      <c r="AF19" s="440" t="str">
        <f t="shared" si="2"/>
        <v/>
      </c>
      <c r="AG19" s="407"/>
    </row>
    <row r="20" spans="1:33" ht="22.9" customHeight="1" x14ac:dyDescent="0.25">
      <c r="A20" s="451" t="str">
        <f>IF(NOT(B20=""),SUM(MAX($A$5:A19)+1),"")</f>
        <v/>
      </c>
      <c r="B20" s="444" t="str">
        <f>IFERROR(INDEX(Table!$I$7:$I$35,Table!$B22,1),"")</f>
        <v/>
      </c>
      <c r="C20" s="789" t="str">
        <f>IFERROR(IF(B20="","",INDEX(Table!$K$7:$K$35,Table!$B22,1)),0)</f>
        <v/>
      </c>
      <c r="D20" s="445">
        <f>IFERROR(INDEX(Table!$O$7:$O$35,Table!$B22,1),0)</f>
        <v>0</v>
      </c>
      <c r="E20" s="445">
        <f>IFERROR(INDEX(Table!$Q$7:$Q$35,Table!$B22,1),0)</f>
        <v>0</v>
      </c>
      <c r="F20" s="445">
        <f>IFERROR(INDEX(Table!$S$7:$S$35,Table!$B22,1),0)</f>
        <v>0</v>
      </c>
      <c r="G20" s="445">
        <f>IFERROR(INDEX(Table!$T$7:$T$35,Table!$B22,1),0)</f>
        <v>0</v>
      </c>
      <c r="H20" s="445">
        <f>IFERROR(INDEX(Table!$U$7:$U$35,Table!$B22,1),0)</f>
        <v>0</v>
      </c>
      <c r="I20" s="445">
        <f>IFERROR(INDEX(Table!$V$7:$V$35,Table!$B22,1),0)</f>
        <v>0</v>
      </c>
      <c r="J20" s="445">
        <f>IFERROR(INDEX(Table!$W$7:$W$24,Table!$B22,1),0)</f>
        <v>0</v>
      </c>
      <c r="K20" s="445">
        <f>IFERROR(INDEX(Table!$X$7:$AC$35,Table!$B22,1),0)</f>
        <v>0</v>
      </c>
      <c r="L20" s="445">
        <f>IFERROR(INDEX(Table!$Y$7:$Y$35,Table!$B22,1),0)</f>
        <v>0</v>
      </c>
      <c r="M20" s="445">
        <f>IFERROR(INDEX(Table!$Z$7:$Z$35,Table!$B22,1),0)</f>
        <v>0</v>
      </c>
      <c r="N20" s="445">
        <f>IFERROR(INDEX(Table!$AA$7:$AC$35,Table!$B22,1),0)</f>
        <v>0</v>
      </c>
      <c r="O20" s="445">
        <f>IFERROR(INDEX(Table!$AA$7:$AC$35,Table!$B22,3),0)</f>
        <v>0</v>
      </c>
      <c r="P20" s="445">
        <f>IFERROR(INDEX(Table!$AA$7:$AC$35,Table!$B22,2),0)</f>
        <v>0</v>
      </c>
      <c r="Q20" s="445">
        <f>IFERROR(INDEX(Table!$AD$7:$AD$35,Table!$B22,1),0)</f>
        <v>0</v>
      </c>
      <c r="R20" s="445">
        <f t="shared" si="0"/>
        <v>0</v>
      </c>
      <c r="S20" s="445">
        <f>IFERROR(INDEX(Table!$AF$7:$AK$35,Table!$B22,1),0)</f>
        <v>0</v>
      </c>
      <c r="T20" s="445">
        <f>IFERROR(INDEX(Table!$AF$7:$AK$35,Table!$B22,2),0)</f>
        <v>0</v>
      </c>
      <c r="U20" s="445">
        <f>IFERROR(INDEX(Table!$AF$7:$AK$35,Table!$B22,3),0)</f>
        <v>0</v>
      </c>
      <c r="V20" s="445">
        <f>IFERROR(INDEX(Table!$AF$7:$AK$35,Table!$B22,4),0)</f>
        <v>0</v>
      </c>
      <c r="W20" s="445">
        <f>IFERROR(INDEX(Table!$AF$7:$AJ$35,Table!$B22,5),0)</f>
        <v>0</v>
      </c>
      <c r="X20" s="445">
        <f>IFERROR(INDEX(Table!$AF$7:$AK$35,Table!$B22,6),0)</f>
        <v>0</v>
      </c>
      <c r="Y20" s="445">
        <f>IFERROR(IF(NOT(AG20=""),AG20,INDEX(Table!$AN$7:$AN$35,Table!$B22,1)),0)</f>
        <v>0</v>
      </c>
      <c r="Z20" s="445">
        <f>IFERROR(INDEX(Table!$AO$7:$AO$35,Table!$B22,1),0)</f>
        <v>0</v>
      </c>
      <c r="AA20" s="445">
        <f>IFERROR(INDEX(Table!$AP$7:$AP$35,Table!$B22,1),0)</f>
        <v>0</v>
      </c>
      <c r="AB20" s="445">
        <f>R20-SUM(S20:AA20)</f>
        <v>0</v>
      </c>
      <c r="AC20" s="446">
        <f>IFERROR(INDEX(Table!$P$7:$P$35,Table!$B22,1),0)</f>
        <v>0</v>
      </c>
      <c r="AD20" s="447">
        <f>IFERROR(INDEX(Table!$R$7:$R$35,Table!$B22,1),0)</f>
        <v>0</v>
      </c>
      <c r="AF20" s="440" t="str">
        <f t="shared" si="2"/>
        <v/>
      </c>
      <c r="AG20" s="407"/>
    </row>
    <row r="21" spans="1:33" ht="22.9" customHeight="1" x14ac:dyDescent="0.25">
      <c r="A21" s="451" t="str">
        <f>IF(NOT(B21=""),SUM(MAX($A$5:A20)+1),"")</f>
        <v/>
      </c>
      <c r="B21" s="444" t="str">
        <f>IFERROR(INDEX(Table!$I$7:$I$35,Table!$B23,1),"")</f>
        <v/>
      </c>
      <c r="C21" s="789" t="str">
        <f>IFERROR(IF(B21="","",INDEX(Table!$K$7:$K$35,Table!$B23,1)),0)</f>
        <v/>
      </c>
      <c r="D21" s="445">
        <f>IFERROR(INDEX(Table!$O$7:$O$35,Table!$B23,1),0)</f>
        <v>0</v>
      </c>
      <c r="E21" s="445">
        <f>IFERROR(INDEX(Table!$Q$7:$Q$35,Table!$B23,1),0)</f>
        <v>0</v>
      </c>
      <c r="F21" s="445">
        <f>IFERROR(INDEX(Table!$S$7:$S$35,Table!$B23,1),0)</f>
        <v>0</v>
      </c>
      <c r="G21" s="445">
        <f>IFERROR(INDEX(Table!$T$7:$T$35,Table!$B23,1),0)</f>
        <v>0</v>
      </c>
      <c r="H21" s="445">
        <f>IFERROR(INDEX(Table!$U$7:$U$35,Table!$B23,1),0)</f>
        <v>0</v>
      </c>
      <c r="I21" s="445">
        <f>IFERROR(INDEX(Table!$V$7:$V$35,Table!$B23,1),0)</f>
        <v>0</v>
      </c>
      <c r="J21" s="445">
        <f>IFERROR(INDEX(Table!$W$7:$W$24,Table!$B23,1),0)</f>
        <v>0</v>
      </c>
      <c r="K21" s="445">
        <f>IFERROR(INDEX(Table!$X$7:$AC$35,Table!$B23,1),0)</f>
        <v>0</v>
      </c>
      <c r="L21" s="445">
        <f>IFERROR(INDEX(Table!$Y$7:$Y$35,Table!$B23,1),0)</f>
        <v>0</v>
      </c>
      <c r="M21" s="445">
        <f>IFERROR(INDEX(Table!$Z$7:$Z$35,Table!$B23,1),0)</f>
        <v>0</v>
      </c>
      <c r="N21" s="445">
        <f>IFERROR(INDEX(Table!$AA$7:$AC$35,Table!$B23,1),0)</f>
        <v>0</v>
      </c>
      <c r="O21" s="445">
        <f>IFERROR(INDEX(Table!$AA$7:$AC$35,Table!$B23,3),0)</f>
        <v>0</v>
      </c>
      <c r="P21" s="445">
        <f>IFERROR(INDEX(Table!$AA$7:$AC$35,Table!$B23,2),0)</f>
        <v>0</v>
      </c>
      <c r="Q21" s="445">
        <f>IFERROR(INDEX(Table!$AD$7:$AD$35,Table!$B23,1),0)</f>
        <v>0</v>
      </c>
      <c r="R21" s="445">
        <f t="shared" si="0"/>
        <v>0</v>
      </c>
      <c r="S21" s="445">
        <f>IFERROR(INDEX(Table!$AF$7:$AK$35,Table!$B23,1),0)</f>
        <v>0</v>
      </c>
      <c r="T21" s="445">
        <f>IFERROR(INDEX(Table!$AF$7:$AK$35,Table!$B23,2),0)</f>
        <v>0</v>
      </c>
      <c r="U21" s="445">
        <f>IFERROR(INDEX(Table!$AF$7:$AK$35,Table!$B23,3),0)</f>
        <v>0</v>
      </c>
      <c r="V21" s="445">
        <f>IFERROR(INDEX(Table!$AF$7:$AK$35,Table!$B23,4),0)</f>
        <v>0</v>
      </c>
      <c r="W21" s="445">
        <f>IFERROR(INDEX(Table!$AF$7:$AJ$35,Table!$B23,5),0)</f>
        <v>0</v>
      </c>
      <c r="X21" s="445">
        <f>IFERROR(INDEX(Table!$AF$7:$AK$35,Table!$B23,6),0)</f>
        <v>0</v>
      </c>
      <c r="Y21" s="445">
        <f>IFERROR(IF(NOT(AG21=""),AG21,INDEX(Table!$AN$7:$AN$35,Table!$B23,1)),0)</f>
        <v>0</v>
      </c>
      <c r="Z21" s="445">
        <f>IFERROR(INDEX(Table!$AO$7:$AO$35,Table!$B23,1),0)</f>
        <v>0</v>
      </c>
      <c r="AA21" s="445">
        <f>IFERROR(INDEX(Table!$AP$7:$AP$35,Table!$B23,1),0)</f>
        <v>0</v>
      </c>
      <c r="AB21" s="445">
        <f t="shared" si="1"/>
        <v>0</v>
      </c>
      <c r="AC21" s="446">
        <f>IFERROR(INDEX(Table!$P$7:$P$35,Table!$B23,1),0)</f>
        <v>0</v>
      </c>
      <c r="AD21" s="447">
        <f>IFERROR(INDEX(Table!$R$7:$R$35,Table!$B23,1),0)</f>
        <v>0</v>
      </c>
      <c r="AF21" s="440" t="str">
        <f t="shared" si="2"/>
        <v/>
      </c>
      <c r="AG21" s="407"/>
    </row>
    <row r="22" spans="1:33" ht="22.9" customHeight="1" x14ac:dyDescent="0.25">
      <c r="A22" s="451" t="str">
        <f>IF(NOT(B22=""),SUM(MAX($A$5:A21)+1),"")</f>
        <v/>
      </c>
      <c r="B22" s="444" t="str">
        <f>IFERROR(INDEX(Table!$I$7:$I$35,Table!$B24,1),"")</f>
        <v/>
      </c>
      <c r="C22" s="789" t="str">
        <f>IFERROR(IF(B22="","",INDEX(Table!$K$7:$K$35,Table!$B24,1)),0)</f>
        <v/>
      </c>
      <c r="D22" s="445">
        <f>IFERROR(INDEX(Table!$O$7:$O$35,Table!$B24,1),0)</f>
        <v>0</v>
      </c>
      <c r="E22" s="445">
        <f>IFERROR(INDEX(Table!$Q$7:$Q$35,Table!$B24,1),0)</f>
        <v>0</v>
      </c>
      <c r="F22" s="445">
        <f>IFERROR(INDEX(Table!$S$7:$S$35,Table!$B24,1),0)</f>
        <v>0</v>
      </c>
      <c r="G22" s="445">
        <f>IFERROR(INDEX(Table!$T$7:$T$35,Table!$B24,1),0)</f>
        <v>0</v>
      </c>
      <c r="H22" s="445">
        <f>IFERROR(INDEX(Table!$U$7:$U$35,Table!$B24,1),0)</f>
        <v>0</v>
      </c>
      <c r="I22" s="445">
        <f>IFERROR(INDEX(Table!$V$7:$V$35,Table!$B24,1),0)</f>
        <v>0</v>
      </c>
      <c r="J22" s="445">
        <f>IFERROR(INDEX(Table!$W$7:$W$24,Table!$B24,1),0)</f>
        <v>0</v>
      </c>
      <c r="K22" s="445">
        <f>IFERROR(INDEX(Table!$X$7:$AC$35,Table!$B24,1),0)</f>
        <v>0</v>
      </c>
      <c r="L22" s="445">
        <f>IFERROR(INDEX(Table!$Y$7:$Y$35,Table!$B24,1),0)</f>
        <v>0</v>
      </c>
      <c r="M22" s="445">
        <f>IFERROR(INDEX(Table!$Z$7:$Z$35,Table!$B24,1),0)</f>
        <v>0</v>
      </c>
      <c r="N22" s="445">
        <f>IFERROR(INDEX(Table!$AA$7:$AC$35,Table!$B24,1),0)</f>
        <v>0</v>
      </c>
      <c r="O22" s="445">
        <f>IFERROR(INDEX(Table!$AA$7:$AC$35,Table!$B24,3),0)</f>
        <v>0</v>
      </c>
      <c r="P22" s="445">
        <f>IFERROR(INDEX(Table!$AA$7:$AC$35,Table!$B24,2),0)</f>
        <v>0</v>
      </c>
      <c r="Q22" s="445">
        <f>IFERROR(INDEX(Table!$AD$7:$AD$35,Table!$B24,1),0)</f>
        <v>0</v>
      </c>
      <c r="R22" s="445">
        <f t="shared" si="0"/>
        <v>0</v>
      </c>
      <c r="S22" s="445">
        <f>IFERROR(INDEX(Table!$AF$7:$AK$35,Table!$B24,1),0)</f>
        <v>0</v>
      </c>
      <c r="T22" s="445">
        <f>IFERROR(INDEX(Table!$AF$7:$AK$35,Table!$B24,2),0)</f>
        <v>0</v>
      </c>
      <c r="U22" s="445">
        <f>IFERROR(INDEX(Table!$AF$7:$AK$35,Table!$B24,3),0)</f>
        <v>0</v>
      </c>
      <c r="V22" s="445">
        <f>IFERROR(INDEX(Table!$AF$7:$AK$35,Table!$B24,4),0)</f>
        <v>0</v>
      </c>
      <c r="W22" s="445">
        <f>IFERROR(INDEX(Table!$AF$7:$AJ$35,Table!$B24,5),0)</f>
        <v>0</v>
      </c>
      <c r="X22" s="445">
        <f>IFERROR(INDEX(Table!$AF$7:$AK$35,Table!$B24,6),0)</f>
        <v>0</v>
      </c>
      <c r="Y22" s="445">
        <f>IFERROR(IF(NOT(AG22=""),AG22,INDEX(Table!$AN$7:$AN$35,Table!$B24,1)),0)</f>
        <v>0</v>
      </c>
      <c r="Z22" s="445">
        <f>IFERROR(INDEX(Table!$AO$7:$AO$35,Table!$B24,1),0)</f>
        <v>0</v>
      </c>
      <c r="AA22" s="445">
        <f>IFERROR(INDEX(Table!$AP$7:$AP$35,Table!$B24,1),0)</f>
        <v>0</v>
      </c>
      <c r="AB22" s="445">
        <f t="shared" si="1"/>
        <v>0</v>
      </c>
      <c r="AC22" s="446">
        <f>IFERROR(INDEX(Table!$P$7:$P$35,Table!$B24,1),0)</f>
        <v>0</v>
      </c>
      <c r="AD22" s="447">
        <f>IFERROR(INDEX(Table!$R$7:$R$35,Table!$B24,1),0)</f>
        <v>0</v>
      </c>
      <c r="AF22" s="440" t="str">
        <f t="shared" si="2"/>
        <v/>
      </c>
      <c r="AG22" s="407"/>
    </row>
    <row r="23" spans="1:33" ht="22.9" customHeight="1" x14ac:dyDescent="0.25">
      <c r="A23" s="451" t="str">
        <f>IF(NOT(B23=""),SUM(MAX($A$5:A22)+1),"")</f>
        <v/>
      </c>
      <c r="B23" s="444" t="str">
        <f>IFERROR(INDEX(Table!$I$7:$I$35,Table!$B25,1),"")</f>
        <v/>
      </c>
      <c r="C23" s="789" t="str">
        <f>IFERROR(IF(B23="","",INDEX(Table!$K$7:$K$35,Table!$B25,1)),0)</f>
        <v/>
      </c>
      <c r="D23" s="445">
        <f>IFERROR(INDEX(Table!$O$7:$O$35,Table!$B25,1),0)</f>
        <v>0</v>
      </c>
      <c r="E23" s="445">
        <f>IFERROR(INDEX(Table!$Q$7:$Q$35,Table!$B25,1),0)</f>
        <v>0</v>
      </c>
      <c r="F23" s="445">
        <f>IFERROR(INDEX(Table!$S$7:$S$35,Table!$B25,1),0)</f>
        <v>0</v>
      </c>
      <c r="G23" s="445">
        <f>IFERROR(INDEX(Table!$T$7:$T$35,Table!$B25,1),0)</f>
        <v>0</v>
      </c>
      <c r="H23" s="445">
        <f>IFERROR(INDEX(Table!$U$7:$U$35,Table!$B25,1),0)</f>
        <v>0</v>
      </c>
      <c r="I23" s="445">
        <f>IFERROR(INDEX(Table!$V$7:$V$35,Table!$B25,1),0)</f>
        <v>0</v>
      </c>
      <c r="J23" s="445">
        <f>IFERROR(INDEX(Table!$W$7:$W$24,Table!$B25,1),0)</f>
        <v>0</v>
      </c>
      <c r="K23" s="445">
        <f>IFERROR(INDEX(Table!$X$7:$AC$35,Table!$B25,1),0)</f>
        <v>0</v>
      </c>
      <c r="L23" s="445">
        <f>IFERROR(INDEX(Table!$Y$7:$Y$35,Table!$B25,1),0)</f>
        <v>0</v>
      </c>
      <c r="M23" s="445">
        <f>IFERROR(INDEX(Table!$Z$7:$Z$35,Table!$B25,1),0)</f>
        <v>0</v>
      </c>
      <c r="N23" s="445">
        <f>IFERROR(INDEX(Table!$AA$7:$AC$35,Table!$B25,1),0)</f>
        <v>0</v>
      </c>
      <c r="O23" s="445">
        <f>IFERROR(INDEX(Table!$AA$7:$AC$35,Table!$B25,3),0)</f>
        <v>0</v>
      </c>
      <c r="P23" s="445">
        <f>IFERROR(INDEX(Table!$AA$7:$AC$35,Table!$B25,2),0)</f>
        <v>0</v>
      </c>
      <c r="Q23" s="445">
        <f>IFERROR(INDEX(Table!$AD$7:$AD$35,Table!$B25,1),0)</f>
        <v>0</v>
      </c>
      <c r="R23" s="445">
        <f t="shared" si="0"/>
        <v>0</v>
      </c>
      <c r="S23" s="445">
        <f>IFERROR(INDEX(Table!$AF$7:$AK$35,Table!$B25,1),0)</f>
        <v>0</v>
      </c>
      <c r="T23" s="445">
        <f>IFERROR(INDEX(Table!$AF$7:$AK$35,Table!$B25,2),0)</f>
        <v>0</v>
      </c>
      <c r="U23" s="445">
        <f>IFERROR(INDEX(Table!$AF$7:$AK$35,Table!$B25,3),0)</f>
        <v>0</v>
      </c>
      <c r="V23" s="445">
        <f>IFERROR(INDEX(Table!$AF$7:$AK$35,Table!$B25,4),0)</f>
        <v>0</v>
      </c>
      <c r="W23" s="445">
        <f>IFERROR(INDEX(Table!$AF$7:$AJ$35,Table!$B25,5),0)</f>
        <v>0</v>
      </c>
      <c r="X23" s="445">
        <f>IFERROR(INDEX(Table!$AF$7:$AK$35,Table!$B25,6),0)</f>
        <v>0</v>
      </c>
      <c r="Y23" s="445">
        <f>IFERROR(IF(NOT(AG23=""),AG23,INDEX(Table!$AN$7:$AN$35,Table!$B25,1)),0)</f>
        <v>0</v>
      </c>
      <c r="Z23" s="445">
        <f>IFERROR(INDEX(Table!$AO$7:$AO$35,Table!$B25,1),0)</f>
        <v>0</v>
      </c>
      <c r="AA23" s="445">
        <f>IFERROR(INDEX(Table!$AP$7:$AP$35,Table!$B25,1),0)</f>
        <v>0</v>
      </c>
      <c r="AB23" s="445">
        <f t="shared" si="1"/>
        <v>0</v>
      </c>
      <c r="AC23" s="446">
        <f>IFERROR(INDEX(Table!$P$7:$P$35,Table!$B25,1),0)</f>
        <v>0</v>
      </c>
      <c r="AD23" s="447">
        <f>IFERROR(INDEX(Table!$R$7:$R$35,Table!$B25,1),0)</f>
        <v>0</v>
      </c>
      <c r="AF23" s="440" t="str">
        <f t="shared" si="2"/>
        <v/>
      </c>
      <c r="AG23" s="407"/>
    </row>
    <row r="24" spans="1:33" ht="22.9" customHeight="1" x14ac:dyDescent="0.25">
      <c r="A24" s="451" t="str">
        <f>IF(NOT(B24=""),SUM(MAX($A$5:A23)+1),"")</f>
        <v/>
      </c>
      <c r="B24" s="444" t="str">
        <f>IFERROR(INDEX(Table!$I$7:$I$35,Table!$B26,1),"")</f>
        <v/>
      </c>
      <c r="C24" s="789" t="str">
        <f>IFERROR(IF(B24="","",INDEX(Table!$K$7:$K$35,Table!$B26,1)),0)</f>
        <v/>
      </c>
      <c r="D24" s="445">
        <f>IFERROR(INDEX(Table!$O$7:$O$35,Table!$B26,1),0)</f>
        <v>0</v>
      </c>
      <c r="E24" s="445">
        <f>IFERROR(INDEX(Table!$Q$7:$Q$35,Table!$B26,1),0)</f>
        <v>0</v>
      </c>
      <c r="F24" s="445">
        <f>IFERROR(INDEX(Table!$S$7:$S$35,Table!$B26,1),0)</f>
        <v>0</v>
      </c>
      <c r="G24" s="445">
        <f>IFERROR(INDEX(Table!$T$7:$T$35,Table!$B26,1),0)</f>
        <v>0</v>
      </c>
      <c r="H24" s="445">
        <f>IFERROR(INDEX(Table!$U$7:$U$35,Table!$B26,1),0)</f>
        <v>0</v>
      </c>
      <c r="I24" s="445">
        <f>IFERROR(INDEX(Table!$V$7:$V$35,Table!$B26,1),0)</f>
        <v>0</v>
      </c>
      <c r="J24" s="445">
        <f>IFERROR(INDEX(Table!$W$7:$W$24,Table!$B26,1),0)</f>
        <v>0</v>
      </c>
      <c r="K24" s="445">
        <f>IFERROR(INDEX(Table!$X$7:$AC$35,Table!$B26,1),0)</f>
        <v>0</v>
      </c>
      <c r="L24" s="445">
        <f>IFERROR(INDEX(Table!$Y$7:$Y$35,Table!$B26,1),0)</f>
        <v>0</v>
      </c>
      <c r="M24" s="445">
        <f>IFERROR(INDEX(Table!$Z$7:$Z$35,Table!$B26,1),0)</f>
        <v>0</v>
      </c>
      <c r="N24" s="445">
        <f>IFERROR(INDEX(Table!$AA$7:$AC$35,Table!$B26,1),0)</f>
        <v>0</v>
      </c>
      <c r="O24" s="445">
        <f>IFERROR(INDEX(Table!$AA$7:$AC$35,Table!$B26,3),0)</f>
        <v>0</v>
      </c>
      <c r="P24" s="445">
        <f>IFERROR(INDEX(Table!$AA$7:$AC$35,Table!$B26,2),0)</f>
        <v>0</v>
      </c>
      <c r="Q24" s="445">
        <f>IFERROR(INDEX(Table!$AD$7:$AD$35,Table!$B26,1),0)</f>
        <v>0</v>
      </c>
      <c r="R24" s="445">
        <f t="shared" si="0"/>
        <v>0</v>
      </c>
      <c r="S24" s="445">
        <f>IFERROR(INDEX(Table!$AF$7:$AK$35,Table!$B26,1),0)</f>
        <v>0</v>
      </c>
      <c r="T24" s="445">
        <f>IFERROR(INDEX(Table!$AF$7:$AK$35,Table!$B26,2),0)</f>
        <v>0</v>
      </c>
      <c r="U24" s="445">
        <f>IFERROR(INDEX(Table!$AF$7:$AK$35,Table!$B26,3),0)</f>
        <v>0</v>
      </c>
      <c r="V24" s="445">
        <f>IFERROR(INDEX(Table!$AF$7:$AK$35,Table!$B26,4),0)</f>
        <v>0</v>
      </c>
      <c r="W24" s="445">
        <f>IFERROR(INDEX(Table!$AF$7:$AJ$35,Table!$B26,5),0)</f>
        <v>0</v>
      </c>
      <c r="X24" s="445">
        <f>IFERROR(INDEX(Table!$AF$7:$AK$35,Table!$B26,6),0)</f>
        <v>0</v>
      </c>
      <c r="Y24" s="445">
        <f>IFERROR(IF(NOT(AG24=""),AG24,INDEX(Table!$AN$7:$AN$35,Table!$B26,1)),0)</f>
        <v>0</v>
      </c>
      <c r="Z24" s="445">
        <f>IFERROR(INDEX(Table!$AO$7:$AO$35,Table!$B26,1),0)</f>
        <v>0</v>
      </c>
      <c r="AA24" s="445">
        <f>IFERROR(INDEX(Table!$AP$7:$AP$35,Table!$B26,1),0)</f>
        <v>0</v>
      </c>
      <c r="AB24" s="445">
        <f t="shared" si="1"/>
        <v>0</v>
      </c>
      <c r="AC24" s="446">
        <f>IFERROR(INDEX(Table!$P$7:$P$35,Table!$B26,1),0)</f>
        <v>0</v>
      </c>
      <c r="AD24" s="447">
        <f>IFERROR(INDEX(Table!$R$7:$R$35,Table!$B26,1),0)</f>
        <v>0</v>
      </c>
      <c r="AF24" s="440" t="str">
        <f t="shared" si="2"/>
        <v/>
      </c>
      <c r="AG24" s="407"/>
    </row>
    <row r="25" spans="1:33" ht="22.9" customHeight="1" x14ac:dyDescent="0.25">
      <c r="A25" s="451" t="str">
        <f>IF(NOT(B25=""),SUM(MAX($A$5:A24)+1),"")</f>
        <v/>
      </c>
      <c r="B25" s="444" t="str">
        <f>IFERROR(INDEX(Table!$I$7:$I$35,Table!$B27,1),"")</f>
        <v/>
      </c>
      <c r="C25" s="789" t="str">
        <f>IFERROR(IF(B25="","",INDEX(Table!$K$7:$K$35,Table!$B27,1)),0)</f>
        <v/>
      </c>
      <c r="D25" s="445">
        <f>IFERROR(INDEX(Table!$O$7:$O$35,Table!$B27,1),0)</f>
        <v>0</v>
      </c>
      <c r="E25" s="445">
        <f>IFERROR(INDEX(Table!$Q$7:$Q$35,Table!$B27,1),0)</f>
        <v>0</v>
      </c>
      <c r="F25" s="445">
        <f>IFERROR(INDEX(Table!$S$7:$S$35,Table!$B27,1),0)</f>
        <v>0</v>
      </c>
      <c r="G25" s="445">
        <f>IFERROR(INDEX(Table!$T$7:$T$35,Table!$B27,1),0)</f>
        <v>0</v>
      </c>
      <c r="H25" s="445">
        <f>IFERROR(INDEX(Table!$U$7:$U$35,Table!$B27,1),0)</f>
        <v>0</v>
      </c>
      <c r="I25" s="445">
        <f>IFERROR(INDEX(Table!$V$7:$V$35,Table!$B27,1),0)</f>
        <v>0</v>
      </c>
      <c r="J25" s="445">
        <f>IFERROR(INDEX(Table!$W$7:$W$24,Table!$B27,1),0)</f>
        <v>0</v>
      </c>
      <c r="K25" s="445">
        <f>IFERROR(INDEX(Table!$X$7:$AC$35,Table!$B27,1),0)</f>
        <v>0</v>
      </c>
      <c r="L25" s="445">
        <f>IFERROR(INDEX(Table!$Y$7:$Y$35,Table!$B27,1),0)</f>
        <v>0</v>
      </c>
      <c r="M25" s="445">
        <f>IFERROR(INDEX(Table!$Z$7:$Z$35,Table!$B27,1),0)</f>
        <v>0</v>
      </c>
      <c r="N25" s="445">
        <f>IFERROR(INDEX(Table!$AA$7:$AC$35,Table!$B27,1),0)</f>
        <v>0</v>
      </c>
      <c r="O25" s="445">
        <f>IFERROR(INDEX(Table!$AA$7:$AC$35,Table!$B27,3),0)</f>
        <v>0</v>
      </c>
      <c r="P25" s="445">
        <f>IFERROR(INDEX(Table!$AA$7:$AC$35,Table!$B27,2),0)</f>
        <v>0</v>
      </c>
      <c r="Q25" s="445">
        <f>IFERROR(INDEX(Table!$AD$7:$AD$35,Table!$B27,1),0)</f>
        <v>0</v>
      </c>
      <c r="R25" s="445">
        <f t="shared" si="0"/>
        <v>0</v>
      </c>
      <c r="S25" s="445">
        <f>IFERROR(INDEX(Table!$AF$7:$AK$35,Table!$B27,1),0)</f>
        <v>0</v>
      </c>
      <c r="T25" s="445">
        <f>IFERROR(INDEX(Table!$AF$7:$AK$35,Table!$B27,2),0)</f>
        <v>0</v>
      </c>
      <c r="U25" s="445">
        <f>IFERROR(INDEX(Table!$AF$7:$AK$35,Table!$B27,3),0)</f>
        <v>0</v>
      </c>
      <c r="V25" s="445">
        <f>IFERROR(INDEX(Table!$AF$7:$AK$35,Table!$B27,4),0)</f>
        <v>0</v>
      </c>
      <c r="W25" s="445">
        <f>IFERROR(INDEX(Table!$AF$7:$AJ$35,Table!$B27,5),0)</f>
        <v>0</v>
      </c>
      <c r="X25" s="445">
        <f>IFERROR(INDEX(Table!$AF$7:$AK$35,Table!$B27,6),0)</f>
        <v>0</v>
      </c>
      <c r="Y25" s="445">
        <f>IFERROR(IF(NOT(AG25=""),AG25,INDEX(Table!$AN$7:$AN$35,Table!$B27,1)),0)</f>
        <v>0</v>
      </c>
      <c r="Z25" s="445">
        <f>IFERROR(INDEX(Table!$AO$7:$AO$35,Table!$B27,1),0)</f>
        <v>0</v>
      </c>
      <c r="AA25" s="445">
        <f>IFERROR(INDEX(Table!$AP$7:$AP$35,Table!$B27,1),0)</f>
        <v>0</v>
      </c>
      <c r="AB25" s="445">
        <f t="shared" si="1"/>
        <v>0</v>
      </c>
      <c r="AC25" s="446">
        <f>IFERROR(INDEX(Table!$P$7:$P$35,Table!$B27,1),0)</f>
        <v>0</v>
      </c>
      <c r="AD25" s="447">
        <f>IFERROR(INDEX(Table!$R$7:$R$35,Table!$B27,1),0)</f>
        <v>0</v>
      </c>
      <c r="AF25" s="440" t="str">
        <f t="shared" si="2"/>
        <v/>
      </c>
      <c r="AG25" s="407"/>
    </row>
    <row r="26" spans="1:33" ht="22.9" customHeight="1" x14ac:dyDescent="0.25">
      <c r="A26" s="451" t="str">
        <f>IF(NOT(B26=""),SUM(MAX($A$5:A25)+1),"")</f>
        <v/>
      </c>
      <c r="B26" s="444" t="str">
        <f>IFERROR(INDEX(Table!$I$7:$I$35,Table!$B28,1),"")</f>
        <v/>
      </c>
      <c r="C26" s="789" t="str">
        <f>IFERROR(IF(B26="","",INDEX(Table!$K$7:$K$35,Table!$B28,1)),0)</f>
        <v/>
      </c>
      <c r="D26" s="445">
        <f>IFERROR(INDEX(Table!$O$7:$O$35,Table!$B28,1),0)</f>
        <v>0</v>
      </c>
      <c r="E26" s="445">
        <f>IFERROR(INDEX(Table!$Q$7:$Q$35,Table!$B28,1),0)</f>
        <v>0</v>
      </c>
      <c r="F26" s="445">
        <f>IFERROR(INDEX(Table!$S$7:$S$35,Table!$B28,1),0)</f>
        <v>0</v>
      </c>
      <c r="G26" s="445">
        <f>IFERROR(INDEX(Table!$T$7:$T$35,Table!$B28,1),0)</f>
        <v>0</v>
      </c>
      <c r="H26" s="445">
        <f>IFERROR(INDEX(Table!$U$7:$U$35,Table!$B28,1),0)</f>
        <v>0</v>
      </c>
      <c r="I26" s="445">
        <f>IFERROR(INDEX(Table!$V$7:$V$35,Table!$B28,1),0)</f>
        <v>0</v>
      </c>
      <c r="J26" s="445">
        <f>IFERROR(INDEX(Table!$W$7:$W$24,Table!$B28,1),0)</f>
        <v>0</v>
      </c>
      <c r="K26" s="445">
        <f>IFERROR(INDEX(Table!$X$7:$AC$35,Table!$B28,1),0)</f>
        <v>0</v>
      </c>
      <c r="L26" s="445">
        <f>IFERROR(INDEX(Table!$Y$7:$Y$35,Table!$B28,1),0)</f>
        <v>0</v>
      </c>
      <c r="M26" s="445">
        <f>IFERROR(INDEX(Table!$Z$7:$Z$35,Table!$B28,1),0)</f>
        <v>0</v>
      </c>
      <c r="N26" s="445">
        <f>IFERROR(INDEX(Table!$AA$7:$AC$35,Table!$B28,1),0)</f>
        <v>0</v>
      </c>
      <c r="O26" s="445">
        <f>IFERROR(INDEX(Table!$AA$7:$AC$35,Table!$B28,3),0)</f>
        <v>0</v>
      </c>
      <c r="P26" s="445">
        <f>IFERROR(INDEX(Table!$AA$7:$AC$35,Table!$B28,2),0)</f>
        <v>0</v>
      </c>
      <c r="Q26" s="445">
        <f>IFERROR(INDEX(Table!$AD$7:$AD$35,Table!$B28,1),0)</f>
        <v>0</v>
      </c>
      <c r="R26" s="445">
        <f t="shared" si="0"/>
        <v>0</v>
      </c>
      <c r="S26" s="445">
        <f>IFERROR(INDEX(Table!$AF$7:$AK$35,Table!$B28,1),0)</f>
        <v>0</v>
      </c>
      <c r="T26" s="445">
        <f>IFERROR(INDEX(Table!$AF$7:$AK$35,Table!$B28,2),0)</f>
        <v>0</v>
      </c>
      <c r="U26" s="445">
        <f>IFERROR(INDEX(Table!$AF$7:$AK$35,Table!$B28,3),0)</f>
        <v>0</v>
      </c>
      <c r="V26" s="445">
        <f>IFERROR(INDEX(Table!$AF$7:$AK$35,Table!$B28,4),0)</f>
        <v>0</v>
      </c>
      <c r="W26" s="445">
        <f>IFERROR(INDEX(Table!$AF$7:$AJ$35,Table!$B28,5),0)</f>
        <v>0</v>
      </c>
      <c r="X26" s="445">
        <f>IFERROR(INDEX(Table!$AF$7:$AK$35,Table!$B28,6),0)</f>
        <v>0</v>
      </c>
      <c r="Y26" s="445">
        <f>IFERROR(IF(NOT(AG26=""),AG26,INDEX(Table!$AN$7:$AN$35,Table!$B28,1)),0)</f>
        <v>0</v>
      </c>
      <c r="Z26" s="445">
        <f>IFERROR(INDEX(Table!$AO$7:$AO$35,Table!$B28,1),0)</f>
        <v>0</v>
      </c>
      <c r="AA26" s="445">
        <f>IFERROR(INDEX(Table!$AP$7:$AP$35,Table!$B28,1),0)</f>
        <v>0</v>
      </c>
      <c r="AB26" s="445">
        <f t="shared" ref="AB26:AB28" si="3">R26-SUM(S26:AA26)</f>
        <v>0</v>
      </c>
      <c r="AC26" s="446">
        <f>IFERROR(INDEX(Table!$P$7:$P$35,Table!$B28,1),0)</f>
        <v>0</v>
      </c>
      <c r="AD26" s="447">
        <f>IFERROR(INDEX(Table!$R$7:$R$35,Table!$B28,1),0)</f>
        <v>0</v>
      </c>
      <c r="AF26" s="440" t="str">
        <f t="shared" si="2"/>
        <v/>
      </c>
      <c r="AG26" s="407"/>
    </row>
    <row r="27" spans="1:33" ht="22.9" customHeight="1" x14ac:dyDescent="0.25">
      <c r="A27" s="451" t="str">
        <f>IF(NOT(B27=""),SUM(MAX($A$5:A26)+1),"")</f>
        <v/>
      </c>
      <c r="B27" s="444" t="str">
        <f>IFERROR(INDEX(Table!$I$7:$I$35,Table!$B29,1),"")</f>
        <v/>
      </c>
      <c r="C27" s="789" t="str">
        <f>IFERROR(IF(B27="","",INDEX(Table!$K$7:$K$35,Table!$B29,1)),0)</f>
        <v/>
      </c>
      <c r="D27" s="445">
        <f>IFERROR(INDEX(Table!$O$7:$O$35,Table!$B29,1),0)</f>
        <v>0</v>
      </c>
      <c r="E27" s="445">
        <f>IFERROR(INDEX(Table!$Q$7:$Q$35,Table!$B29,1),0)</f>
        <v>0</v>
      </c>
      <c r="F27" s="445">
        <f>IFERROR(INDEX(Table!$S$7:$S$35,Table!$B29,1),0)</f>
        <v>0</v>
      </c>
      <c r="G27" s="445">
        <f>IFERROR(INDEX(Table!$T$7:$T$35,Table!$B29,1),0)</f>
        <v>0</v>
      </c>
      <c r="H27" s="445">
        <f>IFERROR(INDEX(Table!$U$7:$U$35,Table!$B29,1),0)</f>
        <v>0</v>
      </c>
      <c r="I27" s="445">
        <f>IFERROR(INDEX(Table!$V$7:$V$35,Table!$B29,1),0)</f>
        <v>0</v>
      </c>
      <c r="J27" s="445">
        <f>IFERROR(INDEX(Table!$W$7:$W$24,Table!$B29,1),0)</f>
        <v>0</v>
      </c>
      <c r="K27" s="445">
        <f>IFERROR(INDEX(Table!$X$7:$AC$35,Table!$B29,1),0)</f>
        <v>0</v>
      </c>
      <c r="L27" s="445">
        <f>IFERROR(INDEX(Table!$Y$7:$Y$35,Table!$B29,1),0)</f>
        <v>0</v>
      </c>
      <c r="M27" s="445">
        <f>IFERROR(INDEX(Table!$Z$7:$Z$35,Table!$B29,1),0)</f>
        <v>0</v>
      </c>
      <c r="N27" s="445">
        <f>IFERROR(INDEX(Table!$AA$7:$AC$35,Table!$B29,1),0)</f>
        <v>0</v>
      </c>
      <c r="O27" s="445">
        <f>IFERROR(INDEX(Table!$AA$7:$AC$35,Table!$B29,3),0)</f>
        <v>0</v>
      </c>
      <c r="P27" s="445">
        <f>IFERROR(INDEX(Table!$AA$7:$AC$35,Table!$B29,2),0)</f>
        <v>0</v>
      </c>
      <c r="Q27" s="445">
        <f>IFERROR(INDEX(Table!$AD$7:$AD$35,Table!$B29,1),0)</f>
        <v>0</v>
      </c>
      <c r="R27" s="445">
        <f t="shared" si="0"/>
        <v>0</v>
      </c>
      <c r="S27" s="445">
        <f>IFERROR(INDEX(Table!$AF$7:$AK$35,Table!$B29,1),0)</f>
        <v>0</v>
      </c>
      <c r="T27" s="445">
        <f>IFERROR(INDEX(Table!$AF$7:$AK$35,Table!$B29,2),0)</f>
        <v>0</v>
      </c>
      <c r="U27" s="445">
        <f>IFERROR(INDEX(Table!$AF$7:$AK$35,Table!$B29,3),0)</f>
        <v>0</v>
      </c>
      <c r="V27" s="445">
        <f>IFERROR(INDEX(Table!$AF$7:$AK$35,Table!$B29,4),0)</f>
        <v>0</v>
      </c>
      <c r="W27" s="445">
        <f>IFERROR(INDEX(Table!$AF$7:$AJ$35,Table!$B29,5),0)</f>
        <v>0</v>
      </c>
      <c r="X27" s="445">
        <f>IFERROR(INDEX(Table!$AF$7:$AK$35,Table!$B29,6),0)</f>
        <v>0</v>
      </c>
      <c r="Y27" s="445">
        <f>IFERROR(IF(NOT(AG27=""),AG27,INDEX(Table!$AN$7:$AN$35,Table!$B29,1)),0)</f>
        <v>0</v>
      </c>
      <c r="Z27" s="445">
        <f>IFERROR(INDEX(Table!$AO$7:$AO$35,Table!$B29,1),0)</f>
        <v>0</v>
      </c>
      <c r="AA27" s="445">
        <f>IFERROR(INDEX(Table!$AP$7:$AP$35,Table!$B29,1),0)</f>
        <v>0</v>
      </c>
      <c r="AB27" s="445">
        <f t="shared" si="3"/>
        <v>0</v>
      </c>
      <c r="AC27" s="446">
        <f>IFERROR(INDEX(Table!$P$7:$P$35,Table!$B29,1),0)</f>
        <v>0</v>
      </c>
      <c r="AD27" s="447">
        <f>IFERROR(INDEX(Table!$R$7:$R$35,Table!$B29,1),0)</f>
        <v>0</v>
      </c>
      <c r="AF27" s="440"/>
      <c r="AG27" s="407"/>
    </row>
    <row r="28" spans="1:33" ht="22.9" customHeight="1" x14ac:dyDescent="0.25">
      <c r="A28" s="451" t="str">
        <f>IF(NOT(B28=""),SUM(MAX($A$5:A27)+1),"")</f>
        <v/>
      </c>
      <c r="B28" s="444" t="str">
        <f>IFERROR(INDEX(Table!$I$7:$I$35,Table!$B30,1),"")</f>
        <v/>
      </c>
      <c r="C28" s="789" t="str">
        <f>IFERROR(IF(B28="","",INDEX(Table!$K$7:$K$35,Table!$B30,1)),0)</f>
        <v/>
      </c>
      <c r="D28" s="445">
        <f>IFERROR(INDEX(Table!$O$7:$O$35,Table!$B30,1),0)</f>
        <v>0</v>
      </c>
      <c r="E28" s="445">
        <f>IFERROR(INDEX(Table!$Q$7:$Q$35,Table!$B30,1),0)</f>
        <v>0</v>
      </c>
      <c r="F28" s="445">
        <f>IFERROR(INDEX(Table!$S$7:$S$35,Table!$B30,1),0)</f>
        <v>0</v>
      </c>
      <c r="G28" s="445">
        <f>IFERROR(INDEX(Table!$T$7:$T$35,Table!$B30,1),0)</f>
        <v>0</v>
      </c>
      <c r="H28" s="445">
        <f>IFERROR(INDEX(Table!$U$7:$U$35,Table!$B30,1),0)</f>
        <v>0</v>
      </c>
      <c r="I28" s="445">
        <f>IFERROR(INDEX(Table!$V$7:$V$35,Table!$B30,1),0)</f>
        <v>0</v>
      </c>
      <c r="J28" s="445">
        <f>IFERROR(INDEX(Table!$W$7:$W$24,Table!$B30,1),0)</f>
        <v>0</v>
      </c>
      <c r="K28" s="445">
        <f>IFERROR(INDEX(Table!$X$7:$AC$35,Table!$B30,1),0)</f>
        <v>0</v>
      </c>
      <c r="L28" s="445">
        <f>IFERROR(INDEX(Table!$Y$7:$Y$35,Table!$B30,1),0)</f>
        <v>0</v>
      </c>
      <c r="M28" s="445">
        <f>IFERROR(INDEX(Table!$Z$7:$Z$35,Table!$B30,1),0)</f>
        <v>0</v>
      </c>
      <c r="N28" s="445">
        <f>IFERROR(INDEX(Table!$AA$7:$AC$35,Table!$B30,1),0)</f>
        <v>0</v>
      </c>
      <c r="O28" s="445">
        <f>IFERROR(INDEX(Table!$AA$7:$AC$35,Table!$B30,3),0)</f>
        <v>0</v>
      </c>
      <c r="P28" s="445">
        <f>IFERROR(INDEX(Table!$AA$7:$AC$35,Table!$B30,2),0)</f>
        <v>0</v>
      </c>
      <c r="Q28" s="445">
        <f>IFERROR(INDEX(Table!$AD$7:$AD$35,Table!$B30,1),0)</f>
        <v>0</v>
      </c>
      <c r="R28" s="445">
        <f t="shared" si="0"/>
        <v>0</v>
      </c>
      <c r="S28" s="445">
        <f>IFERROR(INDEX(Table!$AF$7:$AK$35,Table!$B30,1),0)</f>
        <v>0</v>
      </c>
      <c r="T28" s="445">
        <f>IFERROR(INDEX(Table!$AF$7:$AK$35,Table!$B30,2),0)</f>
        <v>0</v>
      </c>
      <c r="U28" s="445">
        <f>IFERROR(INDEX(Table!$AF$7:$AK$35,Table!$B30,3),0)</f>
        <v>0</v>
      </c>
      <c r="V28" s="445">
        <f>IFERROR(INDEX(Table!$AF$7:$AK$35,Table!$B30,4),0)</f>
        <v>0</v>
      </c>
      <c r="W28" s="445">
        <f>IFERROR(INDEX(Table!$AF$7:$AJ$35,Table!$B30,5),0)</f>
        <v>0</v>
      </c>
      <c r="X28" s="445">
        <f>IFERROR(INDEX(Table!$AF$7:$AK$35,Table!$B30,6),0)</f>
        <v>0</v>
      </c>
      <c r="Y28" s="445">
        <f>IFERROR(IF(NOT(AG28=""),AG28,INDEX(Table!$AN$7:$AN$35,Table!$B30,1)),0)</f>
        <v>0</v>
      </c>
      <c r="Z28" s="445">
        <f>IFERROR(INDEX(Table!$AO$7:$AO$35,Table!$B30,1),0)</f>
        <v>0</v>
      </c>
      <c r="AA28" s="445">
        <f>IFERROR(INDEX(Table!$AP$7:$AP$35,Table!$B30,1),0)</f>
        <v>0</v>
      </c>
      <c r="AB28" s="445">
        <f t="shared" si="3"/>
        <v>0</v>
      </c>
      <c r="AC28" s="446">
        <f>IFERROR(INDEX(Table!$P$7:$P$35,Table!$B30,1),0)</f>
        <v>0</v>
      </c>
      <c r="AD28" s="447">
        <f>IFERROR(INDEX(Table!$R$7:$R$35,Table!$B30,1),0)</f>
        <v>0</v>
      </c>
      <c r="AF28" s="440"/>
      <c r="AG28" s="407"/>
    </row>
    <row r="29" spans="1:33" ht="19.149999999999999" customHeight="1" x14ac:dyDescent="0.25">
      <c r="A29" s="410"/>
      <c r="B29" s="448" t="s">
        <v>105</v>
      </c>
      <c r="C29" s="449"/>
      <c r="D29" s="450">
        <f t="shared" ref="D29:J29" ca="1" si="4">SUM(D5:D28)</f>
        <v>893320</v>
      </c>
      <c r="E29" s="450">
        <f t="shared" ca="1" si="4"/>
        <v>314390</v>
      </c>
      <c r="F29" s="450">
        <f t="shared" ca="1" si="4"/>
        <v>89332</v>
      </c>
      <c r="G29" s="450">
        <f t="shared" ca="1" si="4"/>
        <v>0</v>
      </c>
      <c r="H29" s="450">
        <f t="shared" ca="1" si="4"/>
        <v>0</v>
      </c>
      <c r="I29" s="450">
        <f t="shared" ca="1" si="4"/>
        <v>0</v>
      </c>
      <c r="J29" s="450">
        <f t="shared" ca="1" si="4"/>
        <v>0</v>
      </c>
      <c r="K29" s="450">
        <f t="shared" ref="K29:P29" ca="1" si="5">SUM(K5:K28)</f>
        <v>0</v>
      </c>
      <c r="L29" s="450">
        <f t="shared" si="5"/>
        <v>0</v>
      </c>
      <c r="M29" s="450">
        <f t="shared" si="5"/>
        <v>0</v>
      </c>
      <c r="N29" s="450">
        <f t="shared" ca="1" si="5"/>
        <v>0</v>
      </c>
      <c r="O29" s="450">
        <f t="shared" ca="1" si="5"/>
        <v>0</v>
      </c>
      <c r="P29" s="450">
        <f t="shared" si="5"/>
        <v>0</v>
      </c>
      <c r="Q29" s="450">
        <f>SUM(Q5:Q28)</f>
        <v>0</v>
      </c>
      <c r="R29" s="450">
        <f ca="1">SUM(R5:R28)</f>
        <v>1297042</v>
      </c>
      <c r="S29" s="450">
        <f t="shared" ref="S29" ca="1" si="6">SUM(S5:S28)</f>
        <v>120776</v>
      </c>
      <c r="T29" s="450">
        <f t="shared" ref="T29" si="7">SUM(T5:T28)</f>
        <v>36000</v>
      </c>
      <c r="U29" s="450">
        <f t="shared" ref="U29" si="8">SUM(U5:U28)</f>
        <v>1440</v>
      </c>
      <c r="V29" s="450">
        <f t="shared" ref="V29" si="9">SUM(V5:V28)</f>
        <v>0</v>
      </c>
      <c r="W29" s="450">
        <f t="shared" ref="W29" si="10">SUM(W5:W28)</f>
        <v>0</v>
      </c>
      <c r="X29" s="450">
        <f t="shared" ref="X29" si="11">SUM(X5:X28)</f>
        <v>120</v>
      </c>
      <c r="Y29" s="450">
        <f t="shared" ref="Y29" ca="1" si="12">SUM(Y5:Y28)</f>
        <v>2400</v>
      </c>
      <c r="Z29" s="450">
        <f t="shared" ref="Z29" si="13">SUM(Z5:Z28)</f>
        <v>0</v>
      </c>
      <c r="AA29" s="450">
        <f t="shared" ref="AA29" si="14">SUM(AA5:AA28)</f>
        <v>0</v>
      </c>
      <c r="AB29" s="450">
        <f t="shared" ref="AB29" ca="1" si="15">SUM(AB5:AB28)</f>
        <v>1136306</v>
      </c>
      <c r="AC29" s="450"/>
      <c r="AD29" s="450"/>
      <c r="AF29" s="440">
        <v>1</v>
      </c>
    </row>
    <row r="30" spans="1:33" ht="19.899999999999999" customHeight="1" x14ac:dyDescent="0.25">
      <c r="AF30" s="440">
        <v>1</v>
      </c>
    </row>
    <row r="31" spans="1:33" x14ac:dyDescent="0.25">
      <c r="B31" t="s">
        <v>193</v>
      </c>
      <c r="AA31" t="s">
        <v>630</v>
      </c>
      <c r="AF31" s="440">
        <v>1</v>
      </c>
    </row>
    <row r="32" spans="1:33" x14ac:dyDescent="0.25">
      <c r="AF32" s="440">
        <v>1</v>
      </c>
    </row>
  </sheetData>
  <sheetProtection algorithmName="SHA-512" hashValue="DcJfkrvrYgwj4fkGL7PbfoDzoc0zIa1WJcRpHgKLqQj1hsTZA6NUOaWCSDmNehp87NB72NmMcfXaPLw1O4xkVw==" saltValue="ORmbcU8IOEMSiPLIi7FPlw==" spinCount="100000" sheet="1" formatCells="0" formatColumns="0" formatRows="0" autoFilter="0"/>
  <protectedRanges>
    <protectedRange algorithmName="SHA-512" hashValue="GilWdcROfnFTz5dLDNTSrm97Y72lrw8E5P8s9Hl7Fzz4RTTtimLqB4JQeXuzSrYx9a93bYn/kdjdWSJk21tHoA==" saltValue="3PU2HYdNbZwYWYhH0TVNQA==" spinCount="100000" sqref="B5:AD28" name="Range1"/>
  </protectedRanges>
  <autoFilter ref="AF4:AF32" xr:uid="{C9A70DFD-F798-4DF0-8AAD-64A1AAE54C14}"/>
  <mergeCells count="5">
    <mergeCell ref="A2:AD2"/>
    <mergeCell ref="A3:A4"/>
    <mergeCell ref="C3:C4"/>
    <mergeCell ref="S3:AA3"/>
    <mergeCell ref="D3:Q3"/>
  </mergeCells>
  <printOptions horizontalCentered="1"/>
  <pageMargins left="0.22" right="0.22" top="0.35433070866141736" bottom="0.15748031496062992" header="0.31496062992125984" footer="0.15748031496062992"/>
  <pageSetup paperSize="9" scale="82" orientation="landscape" r:id="rId1"/>
  <drawing r:id="rId2"/>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9BEDBECE-B88A-4E67-B62D-86023D5DB213}">
  <sheetPr codeName="Sheet11">
    <tabColor rgb="FF92D050"/>
    <pageSetUpPr fitToPage="1"/>
  </sheetPr>
  <dimension ref="A1:BN29"/>
  <sheetViews>
    <sheetView showGridLines="0" topLeftCell="A2" zoomScaleNormal="100" workbookViewId="0">
      <selection activeCell="A2" sqref="A2"/>
    </sheetView>
  </sheetViews>
  <sheetFormatPr defaultColWidth="0" defaultRowHeight="15" x14ac:dyDescent="0.25"/>
  <cols>
    <col min="1" max="1" width="4.28515625" customWidth="1"/>
    <col min="2" max="2" width="16.5703125" customWidth="1"/>
    <col min="3" max="3" width="6.5703125" customWidth="1"/>
    <col min="4" max="4" width="9.5703125" style="315" customWidth="1"/>
    <col min="5" max="18" width="7" style="315" customWidth="1"/>
    <col min="19" max="19" width="7.7109375" style="315" customWidth="1"/>
    <col min="20" max="26" width="7" style="315" customWidth="1"/>
    <col min="27" max="27" width="9.28515625" customWidth="1"/>
    <col min="28" max="28" width="5.7109375" customWidth="1"/>
    <col min="29" max="38" width="5.7109375" hidden="1" customWidth="1"/>
    <col min="39" max="39" width="11.85546875" hidden="1" customWidth="1"/>
    <col min="40" max="52" width="5.7109375" hidden="1" customWidth="1"/>
    <col min="53" max="63" width="9.7109375" hidden="1" customWidth="1"/>
    <col min="64" max="16384" width="5.7109375" hidden="1"/>
  </cols>
  <sheetData>
    <row r="1" spans="1:66" ht="4.9000000000000004" hidden="1" customHeight="1" x14ac:dyDescent="0.25"/>
    <row r="2" spans="1:66" ht="19.899999999999999" customHeight="1" x14ac:dyDescent="0.25">
      <c r="A2" s="1604" t="str">
        <f>UPPER("Salary Statement for FY-"&amp;ANNEXURE!A3&amp;" of "&amp;Sections!G2&amp;", ID NO: "&amp;ANNEXURE!G5&amp;","&amp;DATA!E7)</f>
        <v>SALARY STATEMENT FOR FY-2025-2026 OF SRI/SMT XYZ   SA MATHS, ID NO: XXX,ZPHS MAREPALLY</v>
      </c>
      <c r="B2" s="411"/>
      <c r="AC2" t="s">
        <v>616</v>
      </c>
      <c r="AD2">
        <f ca="1">COUNTIFS('statement print'!$AP$4:$BM$4,"&gt;="&amp;1)+5</f>
        <v>15</v>
      </c>
      <c r="AE2" t="s">
        <v>618</v>
      </c>
      <c r="AO2" t="str">
        <f ca="1">IF('Statement(edit)'!E29=0,"",'Statement(edit)'!E4)</f>
        <v>DA</v>
      </c>
      <c r="AP2" t="str">
        <f ca="1">IF('Statement(edit)'!F29=0,"",'Statement(edit)'!F4)</f>
        <v>HRA</v>
      </c>
      <c r="AQ2" t="str">
        <f ca="1">IF('Statement(edit)'!G29=0,"",'Statement(edit)'!G4)</f>
        <v/>
      </c>
      <c r="AR2" t="str">
        <f ca="1">IF('Statement(edit)'!H29=0,"",'Statement(edit)'!H4)</f>
        <v/>
      </c>
      <c r="AS2" t="str">
        <f ca="1">IF('Statement(edit)'!I29=0,"",'Statement(edit)'!I4)</f>
        <v/>
      </c>
      <c r="AT2" t="str">
        <f ca="1">IF('Statement(edit)'!J29=0,"",'Statement(edit)'!J4)</f>
        <v/>
      </c>
      <c r="AU2" t="str">
        <f ca="1">IF('Statement(edit)'!K29=0,"",'Statement(edit)'!K4)</f>
        <v/>
      </c>
      <c r="AV2" t="str">
        <f>IF('Statement(edit)'!L29=0,"",'Statement(edit)'!L4)</f>
        <v/>
      </c>
      <c r="AW2" t="str">
        <f>IF('Statement(edit)'!M29=0,"",'Statement(edit)'!M4)</f>
        <v/>
      </c>
      <c r="AX2" t="str">
        <f ca="1">IF('Statement(edit)'!N29=0,"",'Statement(edit)'!N4)</f>
        <v/>
      </c>
      <c r="AY2" t="str">
        <f ca="1">IF('Statement(edit)'!O29=0,"",'Statement(edit)'!O4)</f>
        <v/>
      </c>
      <c r="AZ2" t="str">
        <f>IF('Statement(edit)'!P29=0,"",'Statement(edit)'!P4)</f>
        <v/>
      </c>
      <c r="BA2" t="str">
        <f>IF('Statement(edit)'!Q29=0,"",'Statement(edit)'!Q4)</f>
        <v/>
      </c>
      <c r="BB2" t="str">
        <f ca="1">IF('Statement(edit)'!R29=0,"",'Statement(edit)'!R4)</f>
        <v>Total</v>
      </c>
      <c r="BC2" t="str">
        <f ca="1">IF('Statement(edit)'!S29=0,"",'Statement(edit)'!S4)</f>
        <v>CPS</v>
      </c>
      <c r="BD2" t="str">
        <f>IF('Statement(edit)'!T29=0,"",'Statement(edit)'!T4)</f>
        <v>APGLI</v>
      </c>
      <c r="BE2" t="str">
        <f>IF('Statement(edit)'!U29=0,"",'Statement(edit)'!U4)</f>
        <v>GIS</v>
      </c>
      <c r="BF2" t="str">
        <f>IF('Statement(edit)'!V29=0,"",'Statement(edit)'!V4)</f>
        <v/>
      </c>
      <c r="BG2" t="str">
        <f>IF('Statement(edit)'!W29=0,"",'Statement(edit)'!W4)</f>
        <v/>
      </c>
      <c r="BH2" t="str">
        <f>IF('Statement(edit)'!X29=0,"",'Statement(edit)'!X4)</f>
        <v>EWF+SWF+G.F</v>
      </c>
      <c r="BI2" t="str">
        <f ca="1">IF('Statement(edit)'!Y29=0,"",'Statement(edit)'!Y4)</f>
        <v>P.TAX</v>
      </c>
      <c r="BJ2" t="str">
        <f>IF('Statement(edit)'!Z29=0,"",'Statement(edit)'!Z4)</f>
        <v/>
      </c>
      <c r="BK2" t="str">
        <f>IF('Statement(edit)'!AA29=0,"",'Statement(edit)'!AA4)</f>
        <v/>
      </c>
      <c r="BL2" t="str">
        <f ca="1">IF('Statement(edit)'!AB29=0,"",'Statement(edit)'!AB4)</f>
        <v>NET</v>
      </c>
      <c r="BM2" t="str">
        <f>IF('Statement(edit)'!AC4=0,"",'Statement(edit)'!AC4)</f>
        <v>D.A%</v>
      </c>
      <c r="BN2" t="str">
        <f>IF('Statement(edit)'!AD4=0,"",'Statement(edit)'!AD4)</f>
        <v>HRA%</v>
      </c>
    </row>
    <row r="3" spans="1:66" ht="51" customHeight="1" x14ac:dyDescent="0.25">
      <c r="A3" s="412" t="s">
        <v>109</v>
      </c>
      <c r="B3" s="413" t="s">
        <v>17</v>
      </c>
      <c r="C3" s="414" t="s">
        <v>117</v>
      </c>
      <c r="D3" s="443" t="str">
        <f>'Statement(edit)'!D4</f>
        <v>Basic Pay</v>
      </c>
      <c r="E3" s="443" t="str">
        <f ca="1">IFERROR(INDEX('statement print'!$AO$2:$BN$2,1,'statement print'!AO4),"")</f>
        <v>DA</v>
      </c>
      <c r="F3" s="443" t="str">
        <f ca="1">IFERROR(INDEX('statement print'!$AO$2:$BN$2,1,'statement print'!AP4),"")</f>
        <v>HRA</v>
      </c>
      <c r="G3" s="443" t="str">
        <f ca="1">IFERROR(INDEX('statement print'!$AO$2:$BN$2,1,'statement print'!AQ4),"")</f>
        <v>Total</v>
      </c>
      <c r="H3" s="443" t="str">
        <f ca="1">IFERROR(INDEX('statement print'!$AO$2:$BN$2,1,'statement print'!AR4),"")</f>
        <v>CPS</v>
      </c>
      <c r="I3" s="443" t="str">
        <f ca="1">IFERROR(INDEX('statement print'!$AO$2:$BN$2,1,'statement print'!AS4),"")</f>
        <v>APGLI</v>
      </c>
      <c r="J3" s="443" t="str">
        <f ca="1">IFERROR(INDEX('statement print'!$AO$2:$BN$2,1,'statement print'!AT4),"")</f>
        <v>GIS</v>
      </c>
      <c r="K3" s="443" t="str">
        <f ca="1">IFERROR(INDEX('statement print'!$AO$2:$BN$2,1,'statement print'!AU4),"")</f>
        <v>EWF+SWF+G.F</v>
      </c>
      <c r="L3" s="443" t="str">
        <f ca="1">IFERROR(INDEX('statement print'!$AO$2:$BN$2,1,'statement print'!AV4),"")</f>
        <v>P.TAX</v>
      </c>
      <c r="M3" s="443" t="str">
        <f ca="1">IFERROR(INDEX('statement print'!$AO$2:$BN$2,1,'statement print'!AW4),"")</f>
        <v>NET</v>
      </c>
      <c r="N3" s="443" t="str">
        <f ca="1">IFERROR(INDEX('statement print'!$AO$2:$BN$2,1,'statement print'!AX4),"")</f>
        <v>D.A%</v>
      </c>
      <c r="O3" s="443" t="str">
        <f ca="1">IFERROR(INDEX('statement print'!$AO$2:$BN$2,1,'statement print'!AY4),"")</f>
        <v>HRA%</v>
      </c>
      <c r="P3" s="443" t="str">
        <f ca="1">IFERROR(INDEX('statement print'!$AO$2:$BN$2,1,'statement print'!AZ4),"")</f>
        <v/>
      </c>
      <c r="Q3" s="443" t="str">
        <f ca="1">IFERROR(INDEX('statement print'!$AO$2:$BN$2,1,'statement print'!BA4),"")</f>
        <v/>
      </c>
      <c r="R3" s="443" t="str">
        <f ca="1">IFERROR(INDEX('statement print'!$AO$2:$BN$2,1,'statement print'!BB4),"")</f>
        <v/>
      </c>
      <c r="S3" s="443" t="str">
        <f ca="1">IFERROR(INDEX('statement print'!$AO$2:$BN$2,1,'statement print'!BC4),"")</f>
        <v/>
      </c>
      <c r="T3" s="443" t="str">
        <f ca="1">IFERROR(INDEX('statement print'!$AO$2:$BN$2,1,'statement print'!BD4),"")</f>
        <v/>
      </c>
      <c r="U3" s="443" t="str">
        <f ca="1">IFERROR(INDEX('statement print'!$AO$2:$BN$2,1,'statement print'!BE4),"")</f>
        <v/>
      </c>
      <c r="V3" s="443" t="str">
        <f ca="1">IFERROR(INDEX('statement print'!$AO$2:$BN$2,1,'statement print'!BF4),"")</f>
        <v/>
      </c>
      <c r="W3" s="443" t="str">
        <f ca="1">IFERROR(INDEX('statement print'!$AO$2:$BN$2,1,'statement print'!BG4),"")</f>
        <v/>
      </c>
      <c r="X3" s="443" t="str">
        <f ca="1">IFERROR(INDEX('statement print'!$AO$2:$BN$2,1,'statement print'!BH4),"")</f>
        <v/>
      </c>
      <c r="Y3" s="443" t="str">
        <f ca="1">IFERROR(INDEX('statement print'!$AO$2:$BN$2,1,'statement print'!BI4),"")</f>
        <v/>
      </c>
      <c r="Z3" s="443" t="str">
        <f ca="1">IFERROR(INDEX('statement print'!$AO$2:$BN$2,1,'statement print'!BJ4),"")</f>
        <v/>
      </c>
      <c r="AA3" s="441" t="s">
        <v>473</v>
      </c>
      <c r="AC3" t="s">
        <v>617</v>
      </c>
      <c r="AD3">
        <f>MAX('Statement(edit)'!$A$5:$A$29)+3</f>
        <v>15</v>
      </c>
      <c r="AO3">
        <f ca="1">IF(AO2="","",COLUMNS($AO2:AO2))</f>
        <v>1</v>
      </c>
      <c r="AP3">
        <f ca="1">IF(AP2="","",COLUMNS($AO2:AP2))</f>
        <v>2</v>
      </c>
      <c r="AQ3" t="str">
        <f ca="1">IF(AQ2="","",COLUMNS($AO2:AQ2))</f>
        <v/>
      </c>
      <c r="AR3" t="str">
        <f ca="1">IF(AR2="","",COLUMNS($AO2:AR2))</f>
        <v/>
      </c>
      <c r="AS3" t="str">
        <f ca="1">IF(AS2="","",COLUMNS($AO2:AS2))</f>
        <v/>
      </c>
      <c r="AT3" t="str">
        <f ca="1">IF(AT2="","",COLUMNS($AO2:AT2))</f>
        <v/>
      </c>
      <c r="AU3" t="str">
        <f ca="1">IF(AU2="","",COLUMNS($AO2:AU2))</f>
        <v/>
      </c>
      <c r="AV3" t="str">
        <f>IF(AV2="","",COLUMNS($AO2:AV2))</f>
        <v/>
      </c>
      <c r="AW3" t="str">
        <f>IF(AW2="","",COLUMNS($AO2:AW2))</f>
        <v/>
      </c>
      <c r="AX3" t="str">
        <f ca="1">IF(AX2="","",COLUMNS($AO2:AX2))</f>
        <v/>
      </c>
      <c r="AY3" t="str">
        <f ca="1">IF(AY2="","",COLUMNS($AO2:AY2))</f>
        <v/>
      </c>
      <c r="AZ3" t="str">
        <f>IF(AZ2="","",COLUMNS($AO2:AZ2))</f>
        <v/>
      </c>
      <c r="BA3" t="str">
        <f>IF(BA2="","",COLUMNS($AO2:BA2))</f>
        <v/>
      </c>
      <c r="BB3">
        <f ca="1">IF(BB2="","",COLUMNS($AO2:BB2))</f>
        <v>14</v>
      </c>
      <c r="BC3">
        <f ca="1">IF(BC2="","",COLUMNS($AO2:BC2))</f>
        <v>15</v>
      </c>
      <c r="BD3">
        <f>IF(BD2="","",COLUMNS($AO2:BD2))</f>
        <v>16</v>
      </c>
      <c r="BE3">
        <f>IF(BE2="","",COLUMNS($AO2:BE2))</f>
        <v>17</v>
      </c>
      <c r="BF3" t="str">
        <f>IF(BF2="","",COLUMNS($AO2:BF2))</f>
        <v/>
      </c>
      <c r="BG3" t="str">
        <f>IF(BG2="","",COLUMNS($AO2:BG2))</f>
        <v/>
      </c>
      <c r="BH3">
        <f>IF(BH2="","",COLUMNS($AO2:BH2))</f>
        <v>20</v>
      </c>
      <c r="BI3">
        <f ca="1">IF(BI2="","",COLUMNS($AO2:BI2))</f>
        <v>21</v>
      </c>
      <c r="BJ3" t="str">
        <f>IF(BJ2="","",COLUMNS($AO2:BJ2))</f>
        <v/>
      </c>
      <c r="BK3" t="str">
        <f>IF(BK2="","",COLUMNS($AO2:BK2))</f>
        <v/>
      </c>
      <c r="BL3">
        <f ca="1">IF(BL2="","",COLUMNS($AO2:BL2))</f>
        <v>24</v>
      </c>
      <c r="BM3">
        <f>IF(BM2="","",COLUMNS($AO2:BM2))</f>
        <v>25</v>
      </c>
      <c r="BN3">
        <f>IF(BN2="","",COLUMNS($AO2:BN2))</f>
        <v>26</v>
      </c>
    </row>
    <row r="4" spans="1:66" ht="22.5" customHeight="1" x14ac:dyDescent="0.25">
      <c r="A4" s="415" t="str">
        <f ca="1">IF($AO5="","",INDEX('Statement(edit)'!$A$5:$D$29,'statement print'!$AO5,1)&amp;"")</f>
        <v>1</v>
      </c>
      <c r="B4" s="423" t="str">
        <f ca="1">IF(B2="TOTAL","Sign of employee",IF($AO5="","",INDEX('Statement(edit)'!$A$5:$D$29,'statement print'!$AO5,2)&amp;""))</f>
        <v>01 to 31/Mar/2025</v>
      </c>
      <c r="C4" s="786" t="str">
        <f ca="1">IF($AO5="","",INDEX('Statement(edit)'!$A$5:$D$29,'statement print'!$AO5,3)&amp;"")</f>
        <v/>
      </c>
      <c r="D4" s="415">
        <f ca="1">IF($AO5="","",INDEX('Statement(edit)'!$A$5:$D$29,'statement print'!$AO5,4))</f>
        <v>72810</v>
      </c>
      <c r="E4" s="416" t="str">
        <f ca="1">IF(OR($AO5="",AO$4=""),"",INDEX('Statement(edit)'!$E$5:$AD$29,'statement print'!$AO5,AO$4)&amp;"")</f>
        <v>24515</v>
      </c>
      <c r="F4" s="416" t="str">
        <f ca="1">IF(OR($AO5="",AP$4=""),"",INDEX('Statement(edit)'!$E$5:$AD$29,'statement print'!$AO5,AP$4)&amp;"")</f>
        <v>7281</v>
      </c>
      <c r="G4" s="416" t="str">
        <f ca="1">IF(OR($AO5="",AQ$4=""),"",INDEX('Statement(edit)'!$E$5:$AD$29,'statement print'!$AO5,AQ$4)&amp;"")</f>
        <v>104606</v>
      </c>
      <c r="H4" s="416" t="str">
        <f ca="1">IF(OR($AO5="",AR$4=""),"",INDEX('Statement(edit)'!$E$5:$AD$29,'statement print'!$AO5,AR$4)&amp;"")</f>
        <v>9733</v>
      </c>
      <c r="I4" s="416" t="str">
        <f ca="1">IF(OR($AO5="",AS$4=""),"",INDEX('Statement(edit)'!$E$5:$AD$29,'statement print'!$AO5,AS$4)&amp;"")</f>
        <v>3000</v>
      </c>
      <c r="J4" s="416" t="str">
        <f ca="1">IF(OR($AO5="",AT$4=""),"",INDEX('Statement(edit)'!$E$5:$AD$29,'statement print'!$AO5,AT$4)&amp;"")</f>
        <v>120</v>
      </c>
      <c r="K4" s="416" t="str">
        <f ca="1">IF(OR($AO5="",AU$4=""),"",INDEX('Statement(edit)'!$E$5:$AD$29,'statement print'!$AO5,AU$4)&amp;"")</f>
        <v>20</v>
      </c>
      <c r="L4" s="416" t="str">
        <f ca="1">IF(OR($AO5="",AV$4=""),"",INDEX('Statement(edit)'!$E$5:$AD$29,'statement print'!$AO5,AV$4)&amp;"")</f>
        <v>200</v>
      </c>
      <c r="M4" s="416" t="str">
        <f ca="1">IF(OR($AO5="",AW$4=""),"",INDEX('Statement(edit)'!$E$5:$AD$29,'statement print'!$AO5,AW$4)&amp;"")</f>
        <v>91533</v>
      </c>
      <c r="N4" s="416" t="str">
        <f ca="1">IF(B4="Sign of employee","Sign of DDO",IF(OR($AO5="",AX$4=""),"",INDEX('Statement(edit)'!$E$5:$AD$29,'statement print'!$AO5,AX$4)&amp;""))</f>
        <v>33.67</v>
      </c>
      <c r="O4" s="416" t="str">
        <f ca="1">IF(OR($AO5="",AY$4=""),"",INDEX('Statement(edit)'!$E$5:$AD$29,'statement print'!$AO5,AY$4)&amp;"")</f>
        <v>10</v>
      </c>
      <c r="P4" s="416" t="str">
        <f ca="1">IF(OR($AO5="",AZ$4=""),"",INDEX('Statement(edit)'!$E$5:$AD$29,'statement print'!$AO5,AZ$4)&amp;"")</f>
        <v/>
      </c>
      <c r="Q4" s="416" t="str">
        <f ca="1">IF(OR($AO5="",BA$4=""),"",INDEX('Statement(edit)'!$E$5:$AD$29,'statement print'!$AO5,BA$4)&amp;"")</f>
        <v/>
      </c>
      <c r="R4" s="416" t="str">
        <f ca="1">IF(OR($AO5="",BB$4=""),"",INDEX('Statement(edit)'!$E$5:$AD$29,'statement print'!$AO5,BB$4)&amp;"")</f>
        <v/>
      </c>
      <c r="S4" s="416" t="str">
        <f ca="1">IF(OR($AO5="",BC$4=""),"",INDEX('Statement(edit)'!$E$5:$AD$29,'statement print'!$AO5,BC$4)&amp;"")</f>
        <v/>
      </c>
      <c r="T4" s="416" t="str">
        <f ca="1">IF(OR($AO5="",BD$4=""),"",INDEX('Statement(edit)'!$E$5:$AD$29,'statement print'!$AO5,BD$4)&amp;"")</f>
        <v/>
      </c>
      <c r="U4" s="416" t="str">
        <f ca="1">IF(OR($AO5="",BE$4=""),"",INDEX('Statement(edit)'!$E$5:$AD$29,'statement print'!$AO5,BE$4)&amp;"")</f>
        <v/>
      </c>
      <c r="V4" s="416" t="str">
        <f ca="1">IF(OR($AO5="",BF$4=""),"",INDEX('Statement(edit)'!$E$5:$AD$29,'statement print'!$AO5,BF$4)&amp;"")</f>
        <v/>
      </c>
      <c r="W4" s="416" t="str">
        <f ca="1">IF(OR($AO5="",BG$4=""),"",INDEX('Statement(edit)'!$E$5:$AD$29,'statement print'!$AO5,BG$4)&amp;"")</f>
        <v/>
      </c>
      <c r="X4" s="416" t="str">
        <f ca="1">IF(OR($AO5="",BH$4=""),"",INDEX('Statement(edit)'!$E$5:$AD$29,'statement print'!$AO5,BH$4)&amp;"")</f>
        <v/>
      </c>
      <c r="Y4" s="416" t="str">
        <f ca="1">IF(OR($AO5="",BI$4=""),"",INDEX('Statement(edit)'!$E$5:$AD$29,'statement print'!$AO5,BI$4)&amp;"")</f>
        <v/>
      </c>
      <c r="Z4" s="416" t="str">
        <f ca="1">IF(OR($AO5="",BJ$4=""),"",INDEX('Statement(edit)'!$E$5:$AD$29,'statement print'!$AO5,BJ$4)&amp;"")</f>
        <v/>
      </c>
      <c r="AA4" s="459">
        <v>1</v>
      </c>
      <c r="AO4">
        <f ca="1">IFERROR(SMALL($AO$3:$BN$3,COLUMNS($AO2:AO2)),"")</f>
        <v>1</v>
      </c>
      <c r="AP4">
        <f ca="1">IFERROR(SMALL($AO$3:$BN$3,COLUMNS($AO2:AP2)),"")</f>
        <v>2</v>
      </c>
      <c r="AQ4">
        <f ca="1">IFERROR(SMALL($AO$3:$BN$3,COLUMNS($AO2:AQ2)),"")</f>
        <v>14</v>
      </c>
      <c r="AR4">
        <f ca="1">IFERROR(SMALL($AO$3:$BN$3,COLUMNS($AO2:AR2)),"")</f>
        <v>15</v>
      </c>
      <c r="AS4">
        <f ca="1">IFERROR(SMALL($AO$3:$BN$3,COLUMNS($AO2:AS2)),"")</f>
        <v>16</v>
      </c>
      <c r="AT4">
        <f ca="1">IFERROR(SMALL($AO$3:$BN$3,COLUMNS($AO2:AT2)),"")</f>
        <v>17</v>
      </c>
      <c r="AU4">
        <f ca="1">IFERROR(SMALL($AO$3:$BN$3,COLUMNS($AO2:AU2)),"")</f>
        <v>20</v>
      </c>
      <c r="AV4">
        <f ca="1">IFERROR(SMALL($AO$3:$BN$3,COLUMNS($AO2:AV2)),"")</f>
        <v>21</v>
      </c>
      <c r="AW4">
        <f ca="1">IFERROR(SMALL($AO$3:$BN$3,COLUMNS($AO2:AW2)),"")</f>
        <v>24</v>
      </c>
      <c r="AX4">
        <f ca="1">IFERROR(SMALL($AO$3:$BN$3,COLUMNS($AO2:AX2)),"")</f>
        <v>25</v>
      </c>
      <c r="AY4">
        <f ca="1">IFERROR(SMALL($AO$3:$BN$3,COLUMNS($AO2:AY2)),"")</f>
        <v>26</v>
      </c>
      <c r="AZ4" t="str">
        <f ca="1">IFERROR(SMALL($AO$3:$BN$3,COLUMNS($AO2:AZ2)),"")</f>
        <v/>
      </c>
      <c r="BA4" t="str">
        <f ca="1">IFERROR(SMALL($AO$3:$BN$3,COLUMNS($AO2:BA2)),"")</f>
        <v/>
      </c>
      <c r="BB4" t="str">
        <f ca="1">IFERROR(SMALL($AO$3:$BN$3,COLUMNS($AO2:BB2)),"")</f>
        <v/>
      </c>
      <c r="BC4" t="str">
        <f ca="1">IFERROR(SMALL($AO$3:$BN$3,COLUMNS($AO2:BC2)),"")</f>
        <v/>
      </c>
      <c r="BD4" t="str">
        <f ca="1">IFERROR(SMALL($AO$3:$BN$3,COLUMNS($AO2:BD2)),"")</f>
        <v/>
      </c>
      <c r="BE4" t="str">
        <f ca="1">IFERROR(SMALL($AO$3:$BN$3,COLUMNS($AO2:BE2)),"")</f>
        <v/>
      </c>
      <c r="BF4" t="str">
        <f ca="1">IFERROR(SMALL($AO$3:$BN$3,COLUMNS($AO2:BF2)),"")</f>
        <v/>
      </c>
      <c r="BG4" t="str">
        <f ca="1">IFERROR(SMALL($AO$3:$BN$3,COLUMNS($AO2:BG2)),"")</f>
        <v/>
      </c>
      <c r="BH4" t="str">
        <f ca="1">IFERROR(SMALL($AO$3:$BN$3,COLUMNS($AO2:BH2)),"")</f>
        <v/>
      </c>
      <c r="BI4" t="str">
        <f ca="1">IFERROR(SMALL($AO$3:$BN$3,COLUMNS($AO2:BI2)),"")</f>
        <v/>
      </c>
      <c r="BJ4" t="str">
        <f ca="1">IFERROR(SMALL($AO$3:$BN$3,COLUMNS($AO2:BJ2)),"")</f>
        <v/>
      </c>
      <c r="BK4" t="str">
        <f ca="1">IFERROR(SMALL($AO$3:$BN$3,COLUMNS($AO2:BK2)),"")</f>
        <v/>
      </c>
      <c r="BL4" t="str">
        <f ca="1">IFERROR(SMALL($AO$3:$BN$3,COLUMNS($AO2:BL2)),"")</f>
        <v/>
      </c>
      <c r="BM4" t="str">
        <f ca="1">IFERROR(SMALL($AO$3:$BN$3,COLUMNS($AO2:BM2)),"")</f>
        <v/>
      </c>
      <c r="BN4" t="str">
        <f ca="1">IFERROR(SMALL($AO$3:$BN$3,COLUMNS($AO2:BN2)),"")</f>
        <v/>
      </c>
    </row>
    <row r="5" spans="1:66" ht="22.5" customHeight="1" x14ac:dyDescent="0.25">
      <c r="A5" s="415" t="str">
        <f ca="1">IF($AO6="","",INDEX('Statement(edit)'!$A$5:$D$29,'statement print'!$AO6,1)&amp;"")</f>
        <v>2</v>
      </c>
      <c r="B5" s="423" t="str">
        <f ca="1">IF(B3="TOTAL","Sign of employee",IF($AO6="","",INDEX('Statement(edit)'!$A$5:$D$29,'statement print'!$AO6,2)&amp;""))</f>
        <v>01 to 30/Apr/2025</v>
      </c>
      <c r="C5" s="786" t="str">
        <f ca="1">IF($AO6="","",INDEX('Statement(edit)'!$A$5:$D$29,'statement print'!$AO6,3)&amp;"")</f>
        <v/>
      </c>
      <c r="D5" s="415">
        <f ca="1">IF($AO6="","",INDEX('Statement(edit)'!$A$5:$D$29,'statement print'!$AO6,4))</f>
        <v>72810</v>
      </c>
      <c r="E5" s="416" t="str">
        <f ca="1">IF(OR($AO6="",AO$4=""),"",INDEX('Statement(edit)'!$E$5:$AD$29,'statement print'!$AO6,AO$4)&amp;"")</f>
        <v>24515</v>
      </c>
      <c r="F5" s="416" t="str">
        <f ca="1">IF(OR($AO6="",AP$4=""),"",INDEX('Statement(edit)'!$E$5:$AD$29,'statement print'!$AO6,AP$4)&amp;"")</f>
        <v>7281</v>
      </c>
      <c r="G5" s="416" t="str">
        <f ca="1">IF(OR($AO6="",AQ$4=""),"",INDEX('Statement(edit)'!$E$5:$AD$29,'statement print'!$AO6,AQ$4)&amp;"")</f>
        <v>104606</v>
      </c>
      <c r="H5" s="416" t="str">
        <f ca="1">IF(OR($AO6="",AR$4=""),"",INDEX('Statement(edit)'!$E$5:$AD$29,'statement print'!$AO6,AR$4)&amp;"")</f>
        <v>9733</v>
      </c>
      <c r="I5" s="416" t="str">
        <f ca="1">IF(OR($AO6="",AS$4=""),"",INDEX('Statement(edit)'!$E$5:$AD$29,'statement print'!$AO6,AS$4)&amp;"")</f>
        <v>3000</v>
      </c>
      <c r="J5" s="416" t="str">
        <f ca="1">IF(OR($AO6="",AT$4=""),"",INDEX('Statement(edit)'!$E$5:$AD$29,'statement print'!$AO6,AT$4)&amp;"")</f>
        <v>120</v>
      </c>
      <c r="K5" s="416" t="str">
        <f ca="1">IF(OR($AO6="",AU$4=""),"",INDEX('Statement(edit)'!$E$5:$AD$29,'statement print'!$AO6,AU$4)&amp;"")</f>
        <v>0</v>
      </c>
      <c r="L5" s="416" t="str">
        <f ca="1">IF(OR($AO6="",AV$4=""),"",INDEX('Statement(edit)'!$E$5:$AD$29,'statement print'!$AO6,AV$4)&amp;"")</f>
        <v>200</v>
      </c>
      <c r="M5" s="416" t="str">
        <f ca="1">IF(OR($AO6="",AW$4=""),"",INDEX('Statement(edit)'!$E$5:$AD$29,'statement print'!$AO6,AW$4)&amp;"")</f>
        <v>91553</v>
      </c>
      <c r="N5" s="416" t="str">
        <f ca="1">IF(B5="Sign of employee","Sign of DDO",IF(OR($AO6="",AX$4=""),"",INDEX('Statement(edit)'!$E$5:$AD$29,'statement print'!$AO6,AX$4)&amp;""))</f>
        <v>33.67</v>
      </c>
      <c r="O5" s="416" t="str">
        <f ca="1">IF(OR($AO6="",AY$4=""),"",INDEX('Statement(edit)'!$E$5:$AD$29,'statement print'!$AO6,AY$4)&amp;"")</f>
        <v>10</v>
      </c>
      <c r="P5" s="416" t="str">
        <f ca="1">IF(OR($AO6="",AZ$4=""),"",INDEX('Statement(edit)'!$E$5:$AD$29,'statement print'!$AO6,AZ$4)&amp;"")</f>
        <v/>
      </c>
      <c r="Q5" s="416" t="str">
        <f ca="1">IF(OR($AO6="",BA$4=""),"",INDEX('Statement(edit)'!$E$5:$AD$29,'statement print'!$AO6,BA$4)&amp;"")</f>
        <v/>
      </c>
      <c r="R5" s="416" t="str">
        <f ca="1">IF(OR($AO6="",BB$4=""),"",INDEX('Statement(edit)'!$E$5:$AD$29,'statement print'!$AO6,BB$4)&amp;"")</f>
        <v/>
      </c>
      <c r="S5" s="416" t="str">
        <f ca="1">IF(OR($AO6="",BC$4=""),"",INDEX('Statement(edit)'!$E$5:$AD$29,'statement print'!$AO6,BC$4)&amp;"")</f>
        <v/>
      </c>
      <c r="T5" s="416" t="str">
        <f ca="1">IF(OR($AO6="",BD$4=""),"",INDEX('Statement(edit)'!$E$5:$AD$29,'statement print'!$AO6,BD$4)&amp;"")</f>
        <v/>
      </c>
      <c r="U5" s="416" t="str">
        <f ca="1">IF(OR($AO6="",BE$4=""),"",INDEX('Statement(edit)'!$E$5:$AD$29,'statement print'!$AO6,BE$4)&amp;"")</f>
        <v/>
      </c>
      <c r="V5" s="416" t="str">
        <f ca="1">IF(OR($AO6="",BF$4=""),"",INDEX('Statement(edit)'!$E$5:$AD$29,'statement print'!$AO6,BF$4)&amp;"")</f>
        <v/>
      </c>
      <c r="W5" s="416" t="str">
        <f ca="1">IF(OR($AO6="",BG$4=""),"",INDEX('Statement(edit)'!$E$5:$AD$29,'statement print'!$AO6,BG$4)&amp;"")</f>
        <v/>
      </c>
      <c r="X5" s="416" t="str">
        <f ca="1">IF(OR($AO6="",BH$4=""),"",INDEX('Statement(edit)'!$E$5:$AD$29,'statement print'!$AO6,BH$4)&amp;"")</f>
        <v/>
      </c>
      <c r="Y5" s="416" t="str">
        <f ca="1">IF(OR($AO6="",BI$4=""),"",INDEX('Statement(edit)'!$E$5:$AD$29,'statement print'!$AO6,BI$4)&amp;"")</f>
        <v/>
      </c>
      <c r="Z5" s="416" t="str">
        <f ca="1">IF(OR($AO6="",BJ$4=""),"",INDEX('Statement(edit)'!$E$5:$AD$29,'statement print'!$AO6,BJ$4)&amp;"")</f>
        <v/>
      </c>
      <c r="AA5" s="459">
        <v>1</v>
      </c>
      <c r="AN5" s="409">
        <f ca="1">IF(OR('Statement(edit)'!B5="",'Statement(edit)'!R5=0),"",DATA!CN4)</f>
        <v>1</v>
      </c>
      <c r="AO5">
        <f ca="1">IFERROR(SMALL($AN$5:$AN$29,DATA!CN4),"")</f>
        <v>1</v>
      </c>
    </row>
    <row r="6" spans="1:66" ht="22.5" customHeight="1" x14ac:dyDescent="0.25">
      <c r="A6" s="415" t="str">
        <f ca="1">IF($AO7="","",INDEX('Statement(edit)'!$A$5:$D$29,'statement print'!$AO7,1)&amp;"")</f>
        <v>3</v>
      </c>
      <c r="B6" s="423" t="str">
        <f ca="1">IF(B4="TOTAL","Sign of employee",IF($AO7="","",INDEX('Statement(edit)'!$A$5:$D$29,'statement print'!$AO7,2)&amp;""))</f>
        <v>01 to 31/May/2025</v>
      </c>
      <c r="C6" s="786" t="str">
        <f ca="1">IF($AO7="","",INDEX('Statement(edit)'!$A$5:$D$29,'statement print'!$AO7,3)&amp;"")</f>
        <v>AGI</v>
      </c>
      <c r="D6" s="415">
        <f ca="1">IF($AO7="","",INDEX('Statement(edit)'!$A$5:$D$29,'statement print'!$AO7,4))</f>
        <v>74770</v>
      </c>
      <c r="E6" s="416" t="str">
        <f ca="1">IF(OR($AO7="",AO$4=""),"",INDEX('Statement(edit)'!$E$5:$AD$29,'statement print'!$AO7,AO$4)&amp;"")</f>
        <v>25175</v>
      </c>
      <c r="F6" s="416" t="str">
        <f ca="1">IF(OR($AO7="",AP$4=""),"",INDEX('Statement(edit)'!$E$5:$AD$29,'statement print'!$AO7,AP$4)&amp;"")</f>
        <v>7477</v>
      </c>
      <c r="G6" s="416" t="str">
        <f ca="1">IF(OR($AO7="",AQ$4=""),"",INDEX('Statement(edit)'!$E$5:$AD$29,'statement print'!$AO7,AQ$4)&amp;"")</f>
        <v>107422</v>
      </c>
      <c r="H6" s="416" t="str">
        <f ca="1">IF(OR($AO7="",AR$4=""),"",INDEX('Statement(edit)'!$E$5:$AD$29,'statement print'!$AO7,AR$4)&amp;"")</f>
        <v>9995</v>
      </c>
      <c r="I6" s="416" t="str">
        <f ca="1">IF(OR($AO7="",AS$4=""),"",INDEX('Statement(edit)'!$E$5:$AD$29,'statement print'!$AO7,AS$4)&amp;"")</f>
        <v>3000</v>
      </c>
      <c r="J6" s="416" t="str">
        <f ca="1">IF(OR($AO7="",AT$4=""),"",INDEX('Statement(edit)'!$E$5:$AD$29,'statement print'!$AO7,AT$4)&amp;"")</f>
        <v>120</v>
      </c>
      <c r="K6" s="416" t="str">
        <f ca="1">IF(OR($AO7="",AU$4=""),"",INDEX('Statement(edit)'!$E$5:$AD$29,'statement print'!$AO7,AU$4)&amp;"")</f>
        <v>0</v>
      </c>
      <c r="L6" s="416" t="str">
        <f ca="1">IF(OR($AO7="",AV$4=""),"",INDEX('Statement(edit)'!$E$5:$AD$29,'statement print'!$AO7,AV$4)&amp;"")</f>
        <v>200</v>
      </c>
      <c r="M6" s="416" t="str">
        <f ca="1">IF(OR($AO7="",AW$4=""),"",INDEX('Statement(edit)'!$E$5:$AD$29,'statement print'!$AO7,AW$4)&amp;"")</f>
        <v>94107</v>
      </c>
      <c r="N6" s="416" t="str">
        <f ca="1">IF(B6="Sign of employee","Sign of DDO",IF(OR($AO7="",AX$4=""),"",INDEX('Statement(edit)'!$E$5:$AD$29,'statement print'!$AO7,AX$4)&amp;""))</f>
        <v>33.67</v>
      </c>
      <c r="O6" s="416" t="str">
        <f ca="1">IF(OR($AO7="",AY$4=""),"",INDEX('Statement(edit)'!$E$5:$AD$29,'statement print'!$AO7,AY$4)&amp;"")</f>
        <v>10</v>
      </c>
      <c r="P6" s="416" t="str">
        <f ca="1">IF(OR($AO7="",AZ$4=""),"",INDEX('Statement(edit)'!$E$5:$AD$29,'statement print'!$AO7,AZ$4)&amp;"")</f>
        <v/>
      </c>
      <c r="Q6" s="416" t="str">
        <f ca="1">IF(OR($AO7="",BA$4=""),"",INDEX('Statement(edit)'!$E$5:$AD$29,'statement print'!$AO7,BA$4)&amp;"")</f>
        <v/>
      </c>
      <c r="R6" s="416" t="str">
        <f ca="1">IF(OR($AO7="",BB$4=""),"",INDEX('Statement(edit)'!$E$5:$AD$29,'statement print'!$AO7,BB$4)&amp;"")</f>
        <v/>
      </c>
      <c r="S6" s="416" t="str">
        <f ca="1">IF(OR($AO7="",BC$4=""),"",INDEX('Statement(edit)'!$E$5:$AD$29,'statement print'!$AO7,BC$4)&amp;"")</f>
        <v/>
      </c>
      <c r="T6" s="416" t="str">
        <f ca="1">IF(OR($AO7="",BD$4=""),"",INDEX('Statement(edit)'!$E$5:$AD$29,'statement print'!$AO7,BD$4)&amp;"")</f>
        <v/>
      </c>
      <c r="U6" s="416" t="str">
        <f ca="1">IF(OR($AO7="",BE$4=""),"",INDEX('Statement(edit)'!$E$5:$AD$29,'statement print'!$AO7,BE$4)&amp;"")</f>
        <v/>
      </c>
      <c r="V6" s="416" t="str">
        <f ca="1">IF(OR($AO7="",BF$4=""),"",INDEX('Statement(edit)'!$E$5:$AD$29,'statement print'!$AO7,BF$4)&amp;"")</f>
        <v/>
      </c>
      <c r="W6" s="416" t="str">
        <f ca="1">IF(OR($AO7="",BG$4=""),"",INDEX('Statement(edit)'!$E$5:$AD$29,'statement print'!$AO7,BG$4)&amp;"")</f>
        <v/>
      </c>
      <c r="X6" s="416" t="str">
        <f ca="1">IF(OR($AO7="",BH$4=""),"",INDEX('Statement(edit)'!$E$5:$AD$29,'statement print'!$AO7,BH$4)&amp;"")</f>
        <v/>
      </c>
      <c r="Y6" s="416" t="str">
        <f ca="1">IF(OR($AO7="",BI$4=""),"",INDEX('Statement(edit)'!$E$5:$AD$29,'statement print'!$AO7,BI$4)&amp;"")</f>
        <v/>
      </c>
      <c r="Z6" s="416" t="str">
        <f ca="1">IF(OR($AO7="",BJ$4=""),"",INDEX('Statement(edit)'!$E$5:$AD$29,'statement print'!$AO7,BJ$4)&amp;"")</f>
        <v/>
      </c>
      <c r="AA6" s="459">
        <v>1</v>
      </c>
      <c r="AN6" s="409">
        <f>IF(OR('Statement(edit)'!B6="",'Statement(edit)'!R6=0),"",DATA!CN5)</f>
        <v>2</v>
      </c>
      <c r="AO6">
        <f ca="1">IFERROR(SMALL($AN$5:$AN$29,DATA!CN5),"")</f>
        <v>2</v>
      </c>
    </row>
    <row r="7" spans="1:66" ht="22.5" customHeight="1" x14ac:dyDescent="0.25">
      <c r="A7" s="415" t="str">
        <f ca="1">IF($AO8="","",INDEX('Statement(edit)'!$A$5:$D$29,'statement print'!$AO8,1)&amp;"")</f>
        <v>4</v>
      </c>
      <c r="B7" s="423" t="str">
        <f ca="1">IF(B5="TOTAL","Sign of employee",IF($AO8="","",INDEX('Statement(edit)'!$A$5:$D$29,'statement print'!$AO8,2)&amp;""))</f>
        <v>01 to 30/Jun/2025</v>
      </c>
      <c r="C7" s="786" t="str">
        <f ca="1">IF($AO8="","",INDEX('Statement(edit)'!$A$5:$D$29,'statement print'!$AO8,3)&amp;"")</f>
        <v/>
      </c>
      <c r="D7" s="415">
        <f ca="1">IF($AO8="","",INDEX('Statement(edit)'!$A$5:$D$29,'statement print'!$AO8,4))</f>
        <v>74770</v>
      </c>
      <c r="E7" s="416" t="str">
        <f ca="1">IF(OR($AO8="",AO$4=""),"",INDEX('Statement(edit)'!$E$5:$AD$29,'statement print'!$AO8,AO$4)&amp;"")</f>
        <v>25175</v>
      </c>
      <c r="F7" s="416" t="str">
        <f ca="1">IF(OR($AO8="",AP$4=""),"",INDEX('Statement(edit)'!$E$5:$AD$29,'statement print'!$AO8,AP$4)&amp;"")</f>
        <v>7477</v>
      </c>
      <c r="G7" s="416" t="str">
        <f ca="1">IF(OR($AO8="",AQ$4=""),"",INDEX('Statement(edit)'!$E$5:$AD$29,'statement print'!$AO8,AQ$4)&amp;"")</f>
        <v>107422</v>
      </c>
      <c r="H7" s="416" t="str">
        <f ca="1">IF(OR($AO8="",AR$4=""),"",INDEX('Statement(edit)'!$E$5:$AD$29,'statement print'!$AO8,AR$4)&amp;"")</f>
        <v>9995</v>
      </c>
      <c r="I7" s="416" t="str">
        <f ca="1">IF(OR($AO8="",AS$4=""),"",INDEX('Statement(edit)'!$E$5:$AD$29,'statement print'!$AO8,AS$4)&amp;"")</f>
        <v>3000</v>
      </c>
      <c r="J7" s="416" t="str">
        <f ca="1">IF(OR($AO8="",AT$4=""),"",INDEX('Statement(edit)'!$E$5:$AD$29,'statement print'!$AO8,AT$4)&amp;"")</f>
        <v>120</v>
      </c>
      <c r="K7" s="416" t="str">
        <f ca="1">IF(OR($AO8="",AU$4=""),"",INDEX('Statement(edit)'!$E$5:$AD$29,'statement print'!$AO8,AU$4)&amp;"")</f>
        <v>0</v>
      </c>
      <c r="L7" s="416" t="str">
        <f ca="1">IF(OR($AO8="",AV$4=""),"",INDEX('Statement(edit)'!$E$5:$AD$29,'statement print'!$AO8,AV$4)&amp;"")</f>
        <v>200</v>
      </c>
      <c r="M7" s="416" t="str">
        <f ca="1">IF(OR($AO8="",AW$4=""),"",INDEX('Statement(edit)'!$E$5:$AD$29,'statement print'!$AO8,AW$4)&amp;"")</f>
        <v>94107</v>
      </c>
      <c r="N7" s="416" t="str">
        <f ca="1">IF(B7="Sign of employee","Sign of DDO",IF(OR($AO8="",AX$4=""),"",INDEX('Statement(edit)'!$E$5:$AD$29,'statement print'!$AO8,AX$4)&amp;""))</f>
        <v>33.67</v>
      </c>
      <c r="O7" s="416" t="str">
        <f ca="1">IF(OR($AO8="",AY$4=""),"",INDEX('Statement(edit)'!$E$5:$AD$29,'statement print'!$AO8,AY$4)&amp;"")</f>
        <v>10</v>
      </c>
      <c r="P7" s="416" t="str">
        <f ca="1">IF(OR($AO8="",AZ$4=""),"",INDEX('Statement(edit)'!$E$5:$AD$29,'statement print'!$AO8,AZ$4)&amp;"")</f>
        <v/>
      </c>
      <c r="Q7" s="416" t="str">
        <f ca="1">IF(OR($AO8="",BA$4=""),"",INDEX('Statement(edit)'!$E$5:$AD$29,'statement print'!$AO8,BA$4)&amp;"")</f>
        <v/>
      </c>
      <c r="R7" s="416" t="str">
        <f ca="1">IF(OR($AO8="",BB$4=""),"",INDEX('Statement(edit)'!$E$5:$AD$29,'statement print'!$AO8,BB$4)&amp;"")</f>
        <v/>
      </c>
      <c r="S7" s="416" t="str">
        <f ca="1">IF(OR($AO8="",BC$4=""),"",INDEX('Statement(edit)'!$E$5:$AD$29,'statement print'!$AO8,BC$4)&amp;"")</f>
        <v/>
      </c>
      <c r="T7" s="416" t="str">
        <f ca="1">IF(OR($AO8="",BD$4=""),"",INDEX('Statement(edit)'!$E$5:$AD$29,'statement print'!$AO8,BD$4)&amp;"")</f>
        <v/>
      </c>
      <c r="U7" s="416" t="str">
        <f ca="1">IF(OR($AO8="",BE$4=""),"",INDEX('Statement(edit)'!$E$5:$AD$29,'statement print'!$AO8,BE$4)&amp;"")</f>
        <v/>
      </c>
      <c r="V7" s="416" t="str">
        <f ca="1">IF(OR($AO8="",BF$4=""),"",INDEX('Statement(edit)'!$E$5:$AD$29,'statement print'!$AO8,BF$4)&amp;"")</f>
        <v/>
      </c>
      <c r="W7" s="416" t="str">
        <f ca="1">IF(OR($AO8="",BG$4=""),"",INDEX('Statement(edit)'!$E$5:$AD$29,'statement print'!$AO8,BG$4)&amp;"")</f>
        <v/>
      </c>
      <c r="X7" s="416" t="str">
        <f ca="1">IF(OR($AO8="",BH$4=""),"",INDEX('Statement(edit)'!$E$5:$AD$29,'statement print'!$AO8,BH$4)&amp;"")</f>
        <v/>
      </c>
      <c r="Y7" s="416" t="str">
        <f ca="1">IF(OR($AO8="",BI$4=""),"",INDEX('Statement(edit)'!$E$5:$AD$29,'statement print'!$AO8,BI$4)&amp;"")</f>
        <v/>
      </c>
      <c r="Z7" s="416" t="str">
        <f ca="1">IF(OR($AO8="",BJ$4=""),"",INDEX('Statement(edit)'!$E$5:$AD$29,'statement print'!$AO8,BJ$4)&amp;"")</f>
        <v/>
      </c>
      <c r="AA7" s="459">
        <v>1</v>
      </c>
      <c r="AN7" s="409">
        <f>IF(OR('Statement(edit)'!B7="",'Statement(edit)'!R7=0),"",DATA!CN6)</f>
        <v>3</v>
      </c>
      <c r="AO7">
        <f ca="1">IFERROR(SMALL($AN$5:$AN$29,DATA!CN6),"")</f>
        <v>3</v>
      </c>
    </row>
    <row r="8" spans="1:66" ht="22.5" customHeight="1" x14ac:dyDescent="0.25">
      <c r="A8" s="415" t="str">
        <f ca="1">IF($AO9="","",INDEX('Statement(edit)'!$A$5:$D$29,'statement print'!$AO9,1)&amp;"")</f>
        <v>5</v>
      </c>
      <c r="B8" s="423" t="str">
        <f ca="1">IF(B6="TOTAL","Sign of employee",IF($AO9="","",INDEX('Statement(edit)'!$A$5:$D$29,'statement print'!$AO9,2)&amp;""))</f>
        <v>01 to 31/Jul/2025</v>
      </c>
      <c r="C8" s="786" t="str">
        <f ca="1">IF($AO9="","",INDEX('Statement(edit)'!$A$5:$D$29,'statement print'!$AO9,3)&amp;"")</f>
        <v/>
      </c>
      <c r="D8" s="415">
        <f ca="1">IF($AO9="","",INDEX('Statement(edit)'!$A$5:$D$29,'statement print'!$AO9,4))</f>
        <v>74770</v>
      </c>
      <c r="E8" s="416" t="str">
        <f ca="1">IF(OR($AO9="",AO$4=""),"",INDEX('Statement(edit)'!$E$5:$AD$29,'statement print'!$AO9,AO$4)&amp;"")</f>
        <v>25175</v>
      </c>
      <c r="F8" s="416" t="str">
        <f ca="1">IF(OR($AO9="",AP$4=""),"",INDEX('Statement(edit)'!$E$5:$AD$29,'statement print'!$AO9,AP$4)&amp;"")</f>
        <v>7477</v>
      </c>
      <c r="G8" s="416" t="str">
        <f ca="1">IF(OR($AO9="",AQ$4=""),"",INDEX('Statement(edit)'!$E$5:$AD$29,'statement print'!$AO9,AQ$4)&amp;"")</f>
        <v>107422</v>
      </c>
      <c r="H8" s="416" t="str">
        <f ca="1">IF(OR($AO9="",AR$4=""),"",INDEX('Statement(edit)'!$E$5:$AD$29,'statement print'!$AO9,AR$4)&amp;"")</f>
        <v>9995</v>
      </c>
      <c r="I8" s="416" t="str">
        <f ca="1">IF(OR($AO9="",AS$4=""),"",INDEX('Statement(edit)'!$E$5:$AD$29,'statement print'!$AO9,AS$4)&amp;"")</f>
        <v>3000</v>
      </c>
      <c r="J8" s="416" t="str">
        <f ca="1">IF(OR($AO9="",AT$4=""),"",INDEX('Statement(edit)'!$E$5:$AD$29,'statement print'!$AO9,AT$4)&amp;"")</f>
        <v>120</v>
      </c>
      <c r="K8" s="416" t="str">
        <f ca="1">IF(OR($AO9="",AU$4=""),"",INDEX('Statement(edit)'!$E$5:$AD$29,'statement print'!$AO9,AU$4)&amp;"")</f>
        <v>0</v>
      </c>
      <c r="L8" s="416" t="str">
        <f ca="1">IF(OR($AO9="",AV$4=""),"",INDEX('Statement(edit)'!$E$5:$AD$29,'statement print'!$AO9,AV$4)&amp;"")</f>
        <v>200</v>
      </c>
      <c r="M8" s="416" t="str">
        <f ca="1">IF(OR($AO9="",AW$4=""),"",INDEX('Statement(edit)'!$E$5:$AD$29,'statement print'!$AO9,AW$4)&amp;"")</f>
        <v>94107</v>
      </c>
      <c r="N8" s="416" t="str">
        <f ca="1">IF(B8="Sign of employee","Sign of DDO",IF(OR($AO9="",AX$4=""),"",INDEX('Statement(edit)'!$E$5:$AD$29,'statement print'!$AO9,AX$4)&amp;""))</f>
        <v>33.67</v>
      </c>
      <c r="O8" s="416" t="str">
        <f ca="1">IF(OR($AO9="",AY$4=""),"",INDEX('Statement(edit)'!$E$5:$AD$29,'statement print'!$AO9,AY$4)&amp;"")</f>
        <v>10</v>
      </c>
      <c r="P8" s="416" t="str">
        <f ca="1">IF(OR($AO9="",AZ$4=""),"",INDEX('Statement(edit)'!$E$5:$AD$29,'statement print'!$AO9,AZ$4)&amp;"")</f>
        <v/>
      </c>
      <c r="Q8" s="416" t="str">
        <f ca="1">IF(OR($AO9="",BA$4=""),"",INDEX('Statement(edit)'!$E$5:$AD$29,'statement print'!$AO9,BA$4)&amp;"")</f>
        <v/>
      </c>
      <c r="R8" s="416" t="str">
        <f ca="1">IF(OR($AO9="",BB$4=""),"",INDEX('Statement(edit)'!$E$5:$AD$29,'statement print'!$AO9,BB$4)&amp;"")</f>
        <v/>
      </c>
      <c r="S8" s="416" t="str">
        <f ca="1">IF(OR($AO9="",BC$4=""),"",INDEX('Statement(edit)'!$E$5:$AD$29,'statement print'!$AO9,BC$4)&amp;"")</f>
        <v/>
      </c>
      <c r="T8" s="416" t="str">
        <f ca="1">IF(OR($AO9="",BD$4=""),"",INDEX('Statement(edit)'!$E$5:$AD$29,'statement print'!$AO9,BD$4)&amp;"")</f>
        <v/>
      </c>
      <c r="U8" s="416" t="str">
        <f ca="1">IF(OR($AO9="",BE$4=""),"",INDEX('Statement(edit)'!$E$5:$AD$29,'statement print'!$AO9,BE$4)&amp;"")</f>
        <v/>
      </c>
      <c r="V8" s="416" t="str">
        <f ca="1">IF(OR($AO9="",BF$4=""),"",INDEX('Statement(edit)'!$E$5:$AD$29,'statement print'!$AO9,BF$4)&amp;"")</f>
        <v/>
      </c>
      <c r="W8" s="416" t="str">
        <f ca="1">IF(OR($AO9="",BG$4=""),"",INDEX('Statement(edit)'!$E$5:$AD$29,'statement print'!$AO9,BG$4)&amp;"")</f>
        <v/>
      </c>
      <c r="X8" s="416" t="str">
        <f ca="1">IF(OR($AO9="",BH$4=""),"",INDEX('Statement(edit)'!$E$5:$AD$29,'statement print'!$AO9,BH$4)&amp;"")</f>
        <v/>
      </c>
      <c r="Y8" s="416" t="str">
        <f ca="1">IF(OR($AO9="",BI$4=""),"",INDEX('Statement(edit)'!$E$5:$AD$29,'statement print'!$AO9,BI$4)&amp;"")</f>
        <v/>
      </c>
      <c r="Z8" s="416" t="str">
        <f ca="1">IF(OR($AO9="",BJ$4=""),"",INDEX('Statement(edit)'!$E$5:$AD$29,'statement print'!$AO9,BJ$4)&amp;"")</f>
        <v/>
      </c>
      <c r="AA8" s="459">
        <v>1</v>
      </c>
      <c r="AN8" s="409">
        <f>IF(OR('Statement(edit)'!B8="",'Statement(edit)'!R8=0),"",DATA!CN7)</f>
        <v>4</v>
      </c>
      <c r="AO8">
        <f ca="1">IFERROR(SMALL($AN$5:$AN$29,DATA!CN7),"")</f>
        <v>4</v>
      </c>
    </row>
    <row r="9" spans="1:66" ht="22.5" customHeight="1" x14ac:dyDescent="0.25">
      <c r="A9" s="415" t="str">
        <f ca="1">IF($AO10="","",INDEX('Statement(edit)'!$A$5:$D$29,'statement print'!$AO10,1)&amp;"")</f>
        <v>6</v>
      </c>
      <c r="B9" s="423" t="str">
        <f ca="1">IF(B7="TOTAL","Sign of employee",IF($AO10="","",INDEX('Statement(edit)'!$A$5:$D$29,'statement print'!$AO10,2)&amp;""))</f>
        <v>01 to 31/Aug/2025</v>
      </c>
      <c r="C9" s="786" t="str">
        <f ca="1">IF($AO10="","",INDEX('Statement(edit)'!$A$5:$D$29,'statement print'!$AO10,3)&amp;"")</f>
        <v/>
      </c>
      <c r="D9" s="415">
        <f ca="1">IF($AO10="","",INDEX('Statement(edit)'!$A$5:$D$29,'statement print'!$AO10,4))</f>
        <v>74770</v>
      </c>
      <c r="E9" s="416" t="str">
        <f ca="1">IF(OR($AO10="",AO$4=""),"",INDEX('Statement(edit)'!$E$5:$AD$29,'statement print'!$AO10,AO$4)&amp;"")</f>
        <v>25175</v>
      </c>
      <c r="F9" s="416" t="str">
        <f ca="1">IF(OR($AO10="",AP$4=""),"",INDEX('Statement(edit)'!$E$5:$AD$29,'statement print'!$AO10,AP$4)&amp;"")</f>
        <v>7477</v>
      </c>
      <c r="G9" s="416" t="str">
        <f ca="1">IF(OR($AO10="",AQ$4=""),"",INDEX('Statement(edit)'!$E$5:$AD$29,'statement print'!$AO10,AQ$4)&amp;"")</f>
        <v>107422</v>
      </c>
      <c r="H9" s="416" t="str">
        <f ca="1">IF(OR($AO10="",AR$4=""),"",INDEX('Statement(edit)'!$E$5:$AD$29,'statement print'!$AO10,AR$4)&amp;"")</f>
        <v>9995</v>
      </c>
      <c r="I9" s="416" t="str">
        <f ca="1">IF(OR($AO10="",AS$4=""),"",INDEX('Statement(edit)'!$E$5:$AD$29,'statement print'!$AO10,AS$4)&amp;"")</f>
        <v>3000</v>
      </c>
      <c r="J9" s="416" t="str">
        <f ca="1">IF(OR($AO10="",AT$4=""),"",INDEX('Statement(edit)'!$E$5:$AD$29,'statement print'!$AO10,AT$4)&amp;"")</f>
        <v>120</v>
      </c>
      <c r="K9" s="416" t="str">
        <f ca="1">IF(OR($AO10="",AU$4=""),"",INDEX('Statement(edit)'!$E$5:$AD$29,'statement print'!$AO10,AU$4)&amp;"")</f>
        <v>0</v>
      </c>
      <c r="L9" s="416" t="str">
        <f ca="1">IF(OR($AO10="",AV$4=""),"",INDEX('Statement(edit)'!$E$5:$AD$29,'statement print'!$AO10,AV$4)&amp;"")</f>
        <v>200</v>
      </c>
      <c r="M9" s="416" t="str">
        <f ca="1">IF(OR($AO10="",AW$4=""),"",INDEX('Statement(edit)'!$E$5:$AD$29,'statement print'!$AO10,AW$4)&amp;"")</f>
        <v>94107</v>
      </c>
      <c r="N9" s="416" t="str">
        <f ca="1">IF(B9="Sign of employee","Sign of DDO",IF(OR($AO10="",AX$4=""),"",INDEX('Statement(edit)'!$E$5:$AD$29,'statement print'!$AO10,AX$4)&amp;""))</f>
        <v>33.67</v>
      </c>
      <c r="O9" s="416" t="str">
        <f ca="1">IF(OR($AO10="",AY$4=""),"",INDEX('Statement(edit)'!$E$5:$AD$29,'statement print'!$AO10,AY$4)&amp;"")</f>
        <v>10</v>
      </c>
      <c r="P9" s="416" t="str">
        <f ca="1">IF(OR($AO10="",AZ$4=""),"",INDEX('Statement(edit)'!$E$5:$AD$29,'statement print'!$AO10,AZ$4)&amp;"")</f>
        <v/>
      </c>
      <c r="Q9" s="416" t="str">
        <f ca="1">IF(OR($AO10="",BA$4=""),"",INDEX('Statement(edit)'!$E$5:$AD$29,'statement print'!$AO10,BA$4)&amp;"")</f>
        <v/>
      </c>
      <c r="R9" s="416" t="str">
        <f ca="1">IF(OR($AO10="",BB$4=""),"",INDEX('Statement(edit)'!$E$5:$AD$29,'statement print'!$AO10,BB$4)&amp;"")</f>
        <v/>
      </c>
      <c r="S9" s="416" t="str">
        <f ca="1">IF(OR($AO10="",BC$4=""),"",INDEX('Statement(edit)'!$E$5:$AD$29,'statement print'!$AO10,BC$4)&amp;"")</f>
        <v/>
      </c>
      <c r="T9" s="416" t="str">
        <f ca="1">IF(OR($AO10="",BD$4=""),"",INDEX('Statement(edit)'!$E$5:$AD$29,'statement print'!$AO10,BD$4)&amp;"")</f>
        <v/>
      </c>
      <c r="U9" s="416" t="str">
        <f ca="1">IF(OR($AO10="",BE$4=""),"",INDEX('Statement(edit)'!$E$5:$AD$29,'statement print'!$AO10,BE$4)&amp;"")</f>
        <v/>
      </c>
      <c r="V9" s="416" t="str">
        <f ca="1">IF(OR($AO10="",BF$4=""),"",INDEX('Statement(edit)'!$E$5:$AD$29,'statement print'!$AO10,BF$4)&amp;"")</f>
        <v/>
      </c>
      <c r="W9" s="416" t="str">
        <f ca="1">IF(OR($AO10="",BG$4=""),"",INDEX('Statement(edit)'!$E$5:$AD$29,'statement print'!$AO10,BG$4)&amp;"")</f>
        <v/>
      </c>
      <c r="X9" s="416" t="str">
        <f ca="1">IF(OR($AO10="",BH$4=""),"",INDEX('Statement(edit)'!$E$5:$AD$29,'statement print'!$AO10,BH$4)&amp;"")</f>
        <v/>
      </c>
      <c r="Y9" s="416" t="str">
        <f ca="1">IF(OR($AO10="",BI$4=""),"",INDEX('Statement(edit)'!$E$5:$AD$29,'statement print'!$AO10,BI$4)&amp;"")</f>
        <v/>
      </c>
      <c r="Z9" s="416" t="str">
        <f ca="1">IF(OR($AO10="",BJ$4=""),"",INDEX('Statement(edit)'!$E$5:$AD$29,'statement print'!$AO10,BJ$4)&amp;"")</f>
        <v/>
      </c>
      <c r="AA9" s="459">
        <v>1</v>
      </c>
      <c r="AN9" s="409">
        <f>IF(OR('Statement(edit)'!B9="",'Statement(edit)'!R9=0),"",DATA!CN8)</f>
        <v>5</v>
      </c>
      <c r="AO9">
        <f ca="1">IFERROR(SMALL($AN$5:$AN$29,DATA!CN8),"")</f>
        <v>5</v>
      </c>
    </row>
    <row r="10" spans="1:66" ht="22.5" customHeight="1" x14ac:dyDescent="0.25">
      <c r="A10" s="415" t="str">
        <f ca="1">IF($AO11="","",INDEX('Statement(edit)'!$A$5:$D$29,'statement print'!$AO11,1)&amp;"")</f>
        <v>7</v>
      </c>
      <c r="B10" s="423" t="str">
        <f ca="1">IF(B8="TOTAL","Sign of employee",IF($AO11="","",INDEX('Statement(edit)'!$A$5:$D$29,'statement print'!$AO11,2)&amp;""))</f>
        <v>01 to 30/Sep/2025</v>
      </c>
      <c r="C10" s="786" t="str">
        <f ca="1">IF($AO11="","",INDEX('Statement(edit)'!$A$5:$D$29,'statement print'!$AO11,3)&amp;"")</f>
        <v/>
      </c>
      <c r="D10" s="415">
        <f ca="1">IF($AO11="","",INDEX('Statement(edit)'!$A$5:$D$29,'statement print'!$AO11,4))</f>
        <v>74770</v>
      </c>
      <c r="E10" s="416" t="str">
        <f ca="1">IF(OR($AO11="",AO$4=""),"",INDEX('Statement(edit)'!$E$5:$AD$29,'statement print'!$AO11,AO$4)&amp;"")</f>
        <v>25175</v>
      </c>
      <c r="F10" s="416" t="str">
        <f ca="1">IF(OR($AO11="",AP$4=""),"",INDEX('Statement(edit)'!$E$5:$AD$29,'statement print'!$AO11,AP$4)&amp;"")</f>
        <v>7477</v>
      </c>
      <c r="G10" s="416" t="str">
        <f ca="1">IF(OR($AO11="",AQ$4=""),"",INDEX('Statement(edit)'!$E$5:$AD$29,'statement print'!$AO11,AQ$4)&amp;"")</f>
        <v>107422</v>
      </c>
      <c r="H10" s="416" t="str">
        <f ca="1">IF(OR($AO11="",AR$4=""),"",INDEX('Statement(edit)'!$E$5:$AD$29,'statement print'!$AO11,AR$4)&amp;"")</f>
        <v>9995</v>
      </c>
      <c r="I10" s="416" t="str">
        <f ca="1">IF(OR($AO11="",AS$4=""),"",INDEX('Statement(edit)'!$E$5:$AD$29,'statement print'!$AO11,AS$4)&amp;"")</f>
        <v>3000</v>
      </c>
      <c r="J10" s="416" t="str">
        <f ca="1">IF(OR($AO11="",AT$4=""),"",INDEX('Statement(edit)'!$E$5:$AD$29,'statement print'!$AO11,AT$4)&amp;"")</f>
        <v>120</v>
      </c>
      <c r="K10" s="416" t="str">
        <f ca="1">IF(OR($AO11="",AU$4=""),"",INDEX('Statement(edit)'!$E$5:$AD$29,'statement print'!$AO11,AU$4)&amp;"")</f>
        <v>0</v>
      </c>
      <c r="L10" s="416" t="str">
        <f ca="1">IF(OR($AO11="",AV$4=""),"",INDEX('Statement(edit)'!$E$5:$AD$29,'statement print'!$AO11,AV$4)&amp;"")</f>
        <v>200</v>
      </c>
      <c r="M10" s="416" t="str">
        <f ca="1">IF(OR($AO11="",AW$4=""),"",INDEX('Statement(edit)'!$E$5:$AD$29,'statement print'!$AO11,AW$4)&amp;"")</f>
        <v>94107</v>
      </c>
      <c r="N10" s="416" t="str">
        <f ca="1">IF(B10="Sign of employee","Sign of DDO",IF(OR($AO11="",AX$4=""),"",INDEX('Statement(edit)'!$E$5:$AD$29,'statement print'!$AO11,AX$4)&amp;""))</f>
        <v>33.67</v>
      </c>
      <c r="O10" s="416" t="str">
        <f ca="1">IF(OR($AO11="",AY$4=""),"",INDEX('Statement(edit)'!$E$5:$AD$29,'statement print'!$AO11,AY$4)&amp;"")</f>
        <v>10</v>
      </c>
      <c r="P10" s="416" t="str">
        <f ca="1">IF(OR($AO11="",AZ$4=""),"",INDEX('Statement(edit)'!$E$5:$AD$29,'statement print'!$AO11,AZ$4)&amp;"")</f>
        <v/>
      </c>
      <c r="Q10" s="416" t="str">
        <f ca="1">IF(OR($AO11="",BA$4=""),"",INDEX('Statement(edit)'!$E$5:$AD$29,'statement print'!$AO11,BA$4)&amp;"")</f>
        <v/>
      </c>
      <c r="R10" s="416" t="str">
        <f ca="1">IF(OR($AO11="",BB$4=""),"",INDEX('Statement(edit)'!$E$5:$AD$29,'statement print'!$AO11,BB$4)&amp;"")</f>
        <v/>
      </c>
      <c r="S10" s="416" t="str">
        <f ca="1">IF(OR($AO11="",BC$4=""),"",INDEX('Statement(edit)'!$E$5:$AD$29,'statement print'!$AO11,BC$4)&amp;"")</f>
        <v/>
      </c>
      <c r="T10" s="416" t="str">
        <f ca="1">IF(OR($AO11="",BD$4=""),"",INDEX('Statement(edit)'!$E$5:$AD$29,'statement print'!$AO11,BD$4)&amp;"")</f>
        <v/>
      </c>
      <c r="U10" s="416" t="str">
        <f ca="1">IF(OR($AO11="",BE$4=""),"",INDEX('Statement(edit)'!$E$5:$AD$29,'statement print'!$AO11,BE$4)&amp;"")</f>
        <v/>
      </c>
      <c r="V10" s="416" t="str">
        <f ca="1">IF(OR($AO11="",BF$4=""),"",INDEX('Statement(edit)'!$E$5:$AD$29,'statement print'!$AO11,BF$4)&amp;"")</f>
        <v/>
      </c>
      <c r="W10" s="416" t="str">
        <f ca="1">IF(OR($AO11="",BG$4=""),"",INDEX('Statement(edit)'!$E$5:$AD$29,'statement print'!$AO11,BG$4)&amp;"")</f>
        <v/>
      </c>
      <c r="X10" s="416" t="str">
        <f ca="1">IF(OR($AO11="",BH$4=""),"",INDEX('Statement(edit)'!$E$5:$AD$29,'statement print'!$AO11,BH$4)&amp;"")</f>
        <v/>
      </c>
      <c r="Y10" s="416" t="str">
        <f ca="1">IF(OR($AO11="",BI$4=""),"",INDEX('Statement(edit)'!$E$5:$AD$29,'statement print'!$AO11,BI$4)&amp;"")</f>
        <v/>
      </c>
      <c r="Z10" s="416" t="str">
        <f ca="1">IF(OR($AO11="",BJ$4=""),"",INDEX('Statement(edit)'!$E$5:$AD$29,'statement print'!$AO11,BJ$4)&amp;"")</f>
        <v/>
      </c>
      <c r="AA10" s="459">
        <v>1</v>
      </c>
      <c r="AN10" s="409">
        <f>IF(OR('Statement(edit)'!B10="",'Statement(edit)'!R10=0),"",DATA!CN9)</f>
        <v>6</v>
      </c>
      <c r="AO10">
        <f ca="1">IFERROR(SMALL($AN$5:$AN$29,DATA!CN9),"")</f>
        <v>6</v>
      </c>
    </row>
    <row r="11" spans="1:66" ht="22.5" customHeight="1" x14ac:dyDescent="0.25">
      <c r="A11" s="415" t="str">
        <f ca="1">IF($AO12="","",INDEX('Statement(edit)'!$A$5:$D$29,'statement print'!$AO12,1)&amp;"")</f>
        <v>8</v>
      </c>
      <c r="B11" s="423" t="str">
        <f ca="1">IF(B9="TOTAL","Sign of employee",IF($AO12="","",INDEX('Statement(edit)'!$A$5:$D$29,'statement print'!$AO12,2)&amp;""))</f>
        <v>01 to 31/Oct/2025</v>
      </c>
      <c r="C11" s="786" t="str">
        <f ca="1">IF($AO12="","",INDEX('Statement(edit)'!$A$5:$D$29,'statement print'!$AO12,3)&amp;"")</f>
        <v/>
      </c>
      <c r="D11" s="415">
        <f ca="1">IF($AO12="","",INDEX('Statement(edit)'!$A$5:$D$29,'statement print'!$AO12,4))</f>
        <v>74770</v>
      </c>
      <c r="E11" s="416" t="str">
        <f ca="1">IF(OR($AO12="",AO$4=""),"",INDEX('Statement(edit)'!$E$5:$AD$29,'statement print'!$AO12,AO$4)&amp;"")</f>
        <v>27897</v>
      </c>
      <c r="F11" s="416" t="str">
        <f ca="1">IF(OR($AO12="",AP$4=""),"",INDEX('Statement(edit)'!$E$5:$AD$29,'statement print'!$AO12,AP$4)&amp;"")</f>
        <v>7477</v>
      </c>
      <c r="G11" s="416" t="str">
        <f ca="1">IF(OR($AO12="",AQ$4=""),"",INDEX('Statement(edit)'!$E$5:$AD$29,'statement print'!$AO12,AQ$4)&amp;"")</f>
        <v>110144</v>
      </c>
      <c r="H11" s="416" t="str">
        <f ca="1">IF(OR($AO12="",AR$4=""),"",INDEX('Statement(edit)'!$E$5:$AD$29,'statement print'!$AO12,AR$4)&amp;"")</f>
        <v>10267</v>
      </c>
      <c r="I11" s="416" t="str">
        <f ca="1">IF(OR($AO12="",AS$4=""),"",INDEX('Statement(edit)'!$E$5:$AD$29,'statement print'!$AO12,AS$4)&amp;"")</f>
        <v>3000</v>
      </c>
      <c r="J11" s="416" t="str">
        <f ca="1">IF(OR($AO12="",AT$4=""),"",INDEX('Statement(edit)'!$E$5:$AD$29,'statement print'!$AO12,AT$4)&amp;"")</f>
        <v>120</v>
      </c>
      <c r="K11" s="416" t="str">
        <f ca="1">IF(OR($AO12="",AU$4=""),"",INDEX('Statement(edit)'!$E$5:$AD$29,'statement print'!$AO12,AU$4)&amp;"")</f>
        <v>0</v>
      </c>
      <c r="L11" s="416" t="str">
        <f ca="1">IF(OR($AO12="",AV$4=""),"",INDEX('Statement(edit)'!$E$5:$AD$29,'statement print'!$AO12,AV$4)&amp;"")</f>
        <v>200</v>
      </c>
      <c r="M11" s="416" t="str">
        <f ca="1">IF(OR($AO12="",AW$4=""),"",INDEX('Statement(edit)'!$E$5:$AD$29,'statement print'!$AO12,AW$4)&amp;"")</f>
        <v>96557</v>
      </c>
      <c r="N11" s="416" t="str">
        <f ca="1">IF(B11="Sign of employee","Sign of DDO",IF(OR($AO12="",AX$4=""),"",INDEX('Statement(edit)'!$E$5:$AD$29,'statement print'!$AO12,AX$4)&amp;""))</f>
        <v>37.31</v>
      </c>
      <c r="O11" s="416" t="str">
        <f ca="1">IF(OR($AO12="",AY$4=""),"",INDEX('Statement(edit)'!$E$5:$AD$29,'statement print'!$AO12,AY$4)&amp;"")</f>
        <v>10</v>
      </c>
      <c r="P11" s="416" t="str">
        <f ca="1">IF(OR($AO12="",AZ$4=""),"",INDEX('Statement(edit)'!$E$5:$AD$29,'statement print'!$AO12,AZ$4)&amp;"")</f>
        <v/>
      </c>
      <c r="Q11" s="416" t="str">
        <f ca="1">IF(OR($AO12="",BA$4=""),"",INDEX('Statement(edit)'!$E$5:$AD$29,'statement print'!$AO12,BA$4)&amp;"")</f>
        <v/>
      </c>
      <c r="R11" s="416" t="str">
        <f ca="1">IF(OR($AO12="",BB$4=""),"",INDEX('Statement(edit)'!$E$5:$AD$29,'statement print'!$AO12,BB$4)&amp;"")</f>
        <v/>
      </c>
      <c r="S11" s="416" t="str">
        <f ca="1">IF(OR($AO12="",BC$4=""),"",INDEX('Statement(edit)'!$E$5:$AD$29,'statement print'!$AO12,BC$4)&amp;"")</f>
        <v/>
      </c>
      <c r="T11" s="416" t="str">
        <f ca="1">IF(OR($AO12="",BD$4=""),"",INDEX('Statement(edit)'!$E$5:$AD$29,'statement print'!$AO12,BD$4)&amp;"")</f>
        <v/>
      </c>
      <c r="U11" s="416" t="str">
        <f ca="1">IF(OR($AO12="",BE$4=""),"",INDEX('Statement(edit)'!$E$5:$AD$29,'statement print'!$AO12,BE$4)&amp;"")</f>
        <v/>
      </c>
      <c r="V11" s="416" t="str">
        <f ca="1">IF(OR($AO12="",BF$4=""),"",INDEX('Statement(edit)'!$E$5:$AD$29,'statement print'!$AO12,BF$4)&amp;"")</f>
        <v/>
      </c>
      <c r="W11" s="416" t="str">
        <f ca="1">IF(OR($AO12="",BG$4=""),"",INDEX('Statement(edit)'!$E$5:$AD$29,'statement print'!$AO12,BG$4)&amp;"")</f>
        <v/>
      </c>
      <c r="X11" s="416" t="str">
        <f ca="1">IF(OR($AO12="",BH$4=""),"",INDEX('Statement(edit)'!$E$5:$AD$29,'statement print'!$AO12,BH$4)&amp;"")</f>
        <v/>
      </c>
      <c r="Y11" s="416" t="str">
        <f ca="1">IF(OR($AO12="",BI$4=""),"",INDEX('Statement(edit)'!$E$5:$AD$29,'statement print'!$AO12,BI$4)&amp;"")</f>
        <v/>
      </c>
      <c r="Z11" s="416" t="str">
        <f ca="1">IF(OR($AO12="",BJ$4=""),"",INDEX('Statement(edit)'!$E$5:$AD$29,'statement print'!$AO12,BJ$4)&amp;"")</f>
        <v/>
      </c>
      <c r="AA11" s="459">
        <v>1</v>
      </c>
      <c r="AN11" s="409">
        <f>IF(OR('Statement(edit)'!B11="",'Statement(edit)'!R11=0),"",DATA!CN10)</f>
        <v>7</v>
      </c>
      <c r="AO11">
        <f ca="1">IFERROR(SMALL($AN$5:$AN$29,DATA!CN10),"")</f>
        <v>7</v>
      </c>
    </row>
    <row r="12" spans="1:66" ht="22.5" customHeight="1" x14ac:dyDescent="0.25">
      <c r="A12" s="415" t="str">
        <f ca="1">IF($AO13="","",INDEX('Statement(edit)'!$A$5:$D$29,'statement print'!$AO13,1)&amp;"")</f>
        <v>9</v>
      </c>
      <c r="B12" s="423" t="str">
        <f ca="1">IF(B10="TOTAL","Sign of employee",IF($AO13="","",INDEX('Statement(edit)'!$A$5:$D$29,'statement print'!$AO13,2)&amp;""))</f>
        <v>01 to 30/Nov/2025</v>
      </c>
      <c r="C12" s="786" t="str">
        <f ca="1">IF($AO13="","",INDEX('Statement(edit)'!$A$5:$D$29,'statement print'!$AO13,3)&amp;"")</f>
        <v/>
      </c>
      <c r="D12" s="415">
        <f ca="1">IF($AO13="","",INDEX('Statement(edit)'!$A$5:$D$29,'statement print'!$AO13,4))</f>
        <v>74770</v>
      </c>
      <c r="E12" s="416" t="str">
        <f ca="1">IF(OR($AO13="",AO$4=""),"",INDEX('Statement(edit)'!$E$5:$AD$29,'statement print'!$AO13,AO$4)&amp;"")</f>
        <v>27897</v>
      </c>
      <c r="F12" s="416" t="str">
        <f ca="1">IF(OR($AO13="",AP$4=""),"",INDEX('Statement(edit)'!$E$5:$AD$29,'statement print'!$AO13,AP$4)&amp;"")</f>
        <v>7477</v>
      </c>
      <c r="G12" s="416" t="str">
        <f ca="1">IF(OR($AO13="",AQ$4=""),"",INDEX('Statement(edit)'!$E$5:$AD$29,'statement print'!$AO13,AQ$4)&amp;"")</f>
        <v>110144</v>
      </c>
      <c r="H12" s="416" t="str">
        <f ca="1">IF(OR($AO13="",AR$4=""),"",INDEX('Statement(edit)'!$E$5:$AD$29,'statement print'!$AO13,AR$4)&amp;"")</f>
        <v>10267</v>
      </c>
      <c r="I12" s="416" t="str">
        <f ca="1">IF(OR($AO13="",AS$4=""),"",INDEX('Statement(edit)'!$E$5:$AD$29,'statement print'!$AO13,AS$4)&amp;"")</f>
        <v>3000</v>
      </c>
      <c r="J12" s="416" t="str">
        <f ca="1">IF(OR($AO13="",AT$4=""),"",INDEX('Statement(edit)'!$E$5:$AD$29,'statement print'!$AO13,AT$4)&amp;"")</f>
        <v>120</v>
      </c>
      <c r="K12" s="416" t="str">
        <f ca="1">IF(OR($AO13="",AU$4=""),"",INDEX('Statement(edit)'!$E$5:$AD$29,'statement print'!$AO13,AU$4)&amp;"")</f>
        <v>0</v>
      </c>
      <c r="L12" s="416" t="str">
        <f ca="1">IF(OR($AO13="",AV$4=""),"",INDEX('Statement(edit)'!$E$5:$AD$29,'statement print'!$AO13,AV$4)&amp;"")</f>
        <v>200</v>
      </c>
      <c r="M12" s="416" t="str">
        <f ca="1">IF(OR($AO13="",AW$4=""),"",INDEX('Statement(edit)'!$E$5:$AD$29,'statement print'!$AO13,AW$4)&amp;"")</f>
        <v>96557</v>
      </c>
      <c r="N12" s="416" t="str">
        <f ca="1">IF(B12="Sign of employee","Sign of DDO",IF(OR($AO13="",AX$4=""),"",INDEX('Statement(edit)'!$E$5:$AD$29,'statement print'!$AO13,AX$4)&amp;""))</f>
        <v>37.31</v>
      </c>
      <c r="O12" s="416" t="str">
        <f ca="1">IF(OR($AO13="",AY$4=""),"",INDEX('Statement(edit)'!$E$5:$AD$29,'statement print'!$AO13,AY$4)&amp;"")</f>
        <v>10</v>
      </c>
      <c r="P12" s="416" t="str">
        <f ca="1">IF(OR($AO13="",AZ$4=""),"",INDEX('Statement(edit)'!$E$5:$AD$29,'statement print'!$AO13,AZ$4)&amp;"")</f>
        <v/>
      </c>
      <c r="Q12" s="416" t="str">
        <f ca="1">IF(OR($AO13="",BA$4=""),"",INDEX('Statement(edit)'!$E$5:$AD$29,'statement print'!$AO13,BA$4)&amp;"")</f>
        <v/>
      </c>
      <c r="R12" s="416" t="str">
        <f ca="1">IF(OR($AO13="",BB$4=""),"",INDEX('Statement(edit)'!$E$5:$AD$29,'statement print'!$AO13,BB$4)&amp;"")</f>
        <v/>
      </c>
      <c r="S12" s="416" t="str">
        <f ca="1">IF(OR($AO13="",BC$4=""),"",INDEX('Statement(edit)'!$E$5:$AD$29,'statement print'!$AO13,BC$4)&amp;"")</f>
        <v/>
      </c>
      <c r="T12" s="416" t="str">
        <f ca="1">IF(OR($AO13="",BD$4=""),"",INDEX('Statement(edit)'!$E$5:$AD$29,'statement print'!$AO13,BD$4)&amp;"")</f>
        <v/>
      </c>
      <c r="U12" s="416" t="str">
        <f ca="1">IF(OR($AO13="",BE$4=""),"",INDEX('Statement(edit)'!$E$5:$AD$29,'statement print'!$AO13,BE$4)&amp;"")</f>
        <v/>
      </c>
      <c r="V12" s="416" t="str">
        <f ca="1">IF(OR($AO13="",BF$4=""),"",INDEX('Statement(edit)'!$E$5:$AD$29,'statement print'!$AO13,BF$4)&amp;"")</f>
        <v/>
      </c>
      <c r="W12" s="416" t="str">
        <f ca="1">IF(OR($AO13="",BG$4=""),"",INDEX('Statement(edit)'!$E$5:$AD$29,'statement print'!$AO13,BG$4)&amp;"")</f>
        <v/>
      </c>
      <c r="X12" s="416" t="str">
        <f ca="1">IF(OR($AO13="",BH$4=""),"",INDEX('Statement(edit)'!$E$5:$AD$29,'statement print'!$AO13,BH$4)&amp;"")</f>
        <v/>
      </c>
      <c r="Y12" s="416" t="str">
        <f ca="1">IF(OR($AO13="",BI$4=""),"",INDEX('Statement(edit)'!$E$5:$AD$29,'statement print'!$AO13,BI$4)&amp;"")</f>
        <v/>
      </c>
      <c r="Z12" s="416" t="str">
        <f ca="1">IF(OR($AO13="",BJ$4=""),"",INDEX('Statement(edit)'!$E$5:$AD$29,'statement print'!$AO13,BJ$4)&amp;"")</f>
        <v/>
      </c>
      <c r="AA12" s="459">
        <v>1</v>
      </c>
      <c r="AN12" s="409">
        <f>IF(OR('Statement(edit)'!B12="",'Statement(edit)'!R12=0),"",DATA!CN11)</f>
        <v>8</v>
      </c>
      <c r="AO12">
        <f ca="1">IFERROR(SMALL($AN$5:$AN$29,DATA!CN11),"")</f>
        <v>8</v>
      </c>
    </row>
    <row r="13" spans="1:66" ht="22.5" customHeight="1" x14ac:dyDescent="0.25">
      <c r="A13" s="415" t="str">
        <f ca="1">IF($AO14="","",INDEX('Statement(edit)'!$A$5:$D$29,'statement print'!$AO14,1)&amp;"")</f>
        <v>10</v>
      </c>
      <c r="B13" s="423" t="str">
        <f ca="1">IF(B11="TOTAL","Sign of employee",IF($AO14="","",INDEX('Statement(edit)'!$A$5:$D$29,'statement print'!$AO14,2)&amp;""))</f>
        <v>01 to 31/Dec/2025</v>
      </c>
      <c r="C13" s="786" t="str">
        <f ca="1">IF($AO14="","",INDEX('Statement(edit)'!$A$5:$D$29,'statement print'!$AO14,3)&amp;"")</f>
        <v/>
      </c>
      <c r="D13" s="415">
        <f ca="1">IF($AO14="","",INDEX('Statement(edit)'!$A$5:$D$29,'statement print'!$AO14,4))</f>
        <v>74770</v>
      </c>
      <c r="E13" s="416" t="str">
        <f ca="1">IF(OR($AO14="",AO$4=""),"",INDEX('Statement(edit)'!$E$5:$AD$29,'statement print'!$AO14,AO$4)&amp;"")</f>
        <v>27897</v>
      </c>
      <c r="F13" s="416" t="str">
        <f ca="1">IF(OR($AO14="",AP$4=""),"",INDEX('Statement(edit)'!$E$5:$AD$29,'statement print'!$AO14,AP$4)&amp;"")</f>
        <v>7477</v>
      </c>
      <c r="G13" s="416" t="str">
        <f ca="1">IF(OR($AO14="",AQ$4=""),"",INDEX('Statement(edit)'!$E$5:$AD$29,'statement print'!$AO14,AQ$4)&amp;"")</f>
        <v>110144</v>
      </c>
      <c r="H13" s="416" t="str">
        <f ca="1">IF(OR($AO14="",AR$4=""),"",INDEX('Statement(edit)'!$E$5:$AD$29,'statement print'!$AO14,AR$4)&amp;"")</f>
        <v>10267</v>
      </c>
      <c r="I13" s="416" t="str">
        <f ca="1">IF(OR($AO14="",AS$4=""),"",INDEX('Statement(edit)'!$E$5:$AD$29,'statement print'!$AO14,AS$4)&amp;"")</f>
        <v>3000</v>
      </c>
      <c r="J13" s="416" t="str">
        <f ca="1">IF(OR($AO14="",AT$4=""),"",INDEX('Statement(edit)'!$E$5:$AD$29,'statement print'!$AO14,AT$4)&amp;"")</f>
        <v>120</v>
      </c>
      <c r="K13" s="416" t="str">
        <f ca="1">IF(OR($AO14="",AU$4=""),"",INDEX('Statement(edit)'!$E$5:$AD$29,'statement print'!$AO14,AU$4)&amp;"")</f>
        <v>100</v>
      </c>
      <c r="L13" s="416" t="str">
        <f ca="1">IF(OR($AO14="",AV$4=""),"",INDEX('Statement(edit)'!$E$5:$AD$29,'statement print'!$AO14,AV$4)&amp;"")</f>
        <v>200</v>
      </c>
      <c r="M13" s="416" t="str">
        <f ca="1">IF(OR($AO14="",AW$4=""),"",INDEX('Statement(edit)'!$E$5:$AD$29,'statement print'!$AO14,AW$4)&amp;"")</f>
        <v>96457</v>
      </c>
      <c r="N13" s="416" t="str">
        <f ca="1">IF(B13="Sign of employee","Sign of DDO",IF(OR($AO14="",AX$4=""),"",INDEX('Statement(edit)'!$E$5:$AD$29,'statement print'!$AO14,AX$4)&amp;""))</f>
        <v>37.31</v>
      </c>
      <c r="O13" s="416" t="str">
        <f ca="1">IF(OR($AO14="",AY$4=""),"",INDEX('Statement(edit)'!$E$5:$AD$29,'statement print'!$AO14,AY$4)&amp;"")</f>
        <v>10</v>
      </c>
      <c r="P13" s="416" t="str">
        <f ca="1">IF(OR($AO14="",AZ$4=""),"",INDEX('Statement(edit)'!$E$5:$AD$29,'statement print'!$AO14,AZ$4)&amp;"")</f>
        <v/>
      </c>
      <c r="Q13" s="416" t="str">
        <f ca="1">IF(OR($AO14="",BA$4=""),"",INDEX('Statement(edit)'!$E$5:$AD$29,'statement print'!$AO14,BA$4)&amp;"")</f>
        <v/>
      </c>
      <c r="R13" s="416" t="str">
        <f ca="1">IF(OR($AO14="",BB$4=""),"",INDEX('Statement(edit)'!$E$5:$AD$29,'statement print'!$AO14,BB$4)&amp;"")</f>
        <v/>
      </c>
      <c r="S13" s="416" t="str">
        <f ca="1">IF(OR($AO14="",BC$4=""),"",INDEX('Statement(edit)'!$E$5:$AD$29,'statement print'!$AO14,BC$4)&amp;"")</f>
        <v/>
      </c>
      <c r="T13" s="416" t="str">
        <f ca="1">IF(OR($AO14="",BD$4=""),"",INDEX('Statement(edit)'!$E$5:$AD$29,'statement print'!$AO14,BD$4)&amp;"")</f>
        <v/>
      </c>
      <c r="U13" s="416" t="str">
        <f ca="1">IF(OR($AO14="",BE$4=""),"",INDEX('Statement(edit)'!$E$5:$AD$29,'statement print'!$AO14,BE$4)&amp;"")</f>
        <v/>
      </c>
      <c r="V13" s="416" t="str">
        <f ca="1">IF(OR($AO14="",BF$4=""),"",INDEX('Statement(edit)'!$E$5:$AD$29,'statement print'!$AO14,BF$4)&amp;"")</f>
        <v/>
      </c>
      <c r="W13" s="416" t="str">
        <f ca="1">IF(OR($AO14="",BG$4=""),"",INDEX('Statement(edit)'!$E$5:$AD$29,'statement print'!$AO14,BG$4)&amp;"")</f>
        <v/>
      </c>
      <c r="X13" s="416" t="str">
        <f ca="1">IF(OR($AO14="",BH$4=""),"",INDEX('Statement(edit)'!$E$5:$AD$29,'statement print'!$AO14,BH$4)&amp;"")</f>
        <v/>
      </c>
      <c r="Y13" s="416" t="str">
        <f ca="1">IF(OR($AO14="",BI$4=""),"",INDEX('Statement(edit)'!$E$5:$AD$29,'statement print'!$AO14,BI$4)&amp;"")</f>
        <v/>
      </c>
      <c r="Z13" s="416" t="str">
        <f ca="1">IF(OR($AO14="",BJ$4=""),"",INDEX('Statement(edit)'!$E$5:$AD$29,'statement print'!$AO14,BJ$4)&amp;"")</f>
        <v/>
      </c>
      <c r="AA13" s="459">
        <v>1</v>
      </c>
      <c r="AN13" s="409">
        <f>IF(OR('Statement(edit)'!B13="",'Statement(edit)'!R13=0),"",DATA!CN12)</f>
        <v>9</v>
      </c>
      <c r="AO13">
        <f ca="1">IFERROR(SMALL($AN$5:$AN$29,DATA!CN12),"")</f>
        <v>9</v>
      </c>
    </row>
    <row r="14" spans="1:66" ht="22.5" customHeight="1" x14ac:dyDescent="0.25">
      <c r="A14" s="415" t="str">
        <f ca="1">IF($AO15="","",INDEX('Statement(edit)'!$A$5:$D$29,'statement print'!$AO15,1)&amp;"")</f>
        <v>11</v>
      </c>
      <c r="B14" s="423" t="str">
        <f ca="1">IF(B12="TOTAL","Sign of employee",IF($AO15="","",INDEX('Statement(edit)'!$A$5:$D$29,'statement print'!$AO15,2)&amp;""))</f>
        <v>01 to 31/Jan/2026</v>
      </c>
      <c r="C14" s="786" t="str">
        <f ca="1">IF($AO15="","",INDEX('Statement(edit)'!$A$5:$D$29,'statement print'!$AO15,3)&amp;"")</f>
        <v/>
      </c>
      <c r="D14" s="415">
        <f ca="1">IF($AO15="","",INDEX('Statement(edit)'!$A$5:$D$29,'statement print'!$AO15,4))</f>
        <v>74770</v>
      </c>
      <c r="E14" s="416" t="str">
        <f ca="1">IF(OR($AO15="",AO$4=""),"",INDEX('Statement(edit)'!$E$5:$AD$29,'statement print'!$AO15,AO$4)&amp;"")</f>
        <v>27897</v>
      </c>
      <c r="F14" s="416" t="str">
        <f ca="1">IF(OR($AO15="",AP$4=""),"",INDEX('Statement(edit)'!$E$5:$AD$29,'statement print'!$AO15,AP$4)&amp;"")</f>
        <v>7477</v>
      </c>
      <c r="G14" s="416" t="str">
        <f ca="1">IF(OR($AO15="",AQ$4=""),"",INDEX('Statement(edit)'!$E$5:$AD$29,'statement print'!$AO15,AQ$4)&amp;"")</f>
        <v>110144</v>
      </c>
      <c r="H14" s="416" t="str">
        <f ca="1">IF(OR($AO15="",AR$4=""),"",INDEX('Statement(edit)'!$E$5:$AD$29,'statement print'!$AO15,AR$4)&amp;"")</f>
        <v>10267</v>
      </c>
      <c r="I14" s="416" t="str">
        <f ca="1">IF(OR($AO15="",AS$4=""),"",INDEX('Statement(edit)'!$E$5:$AD$29,'statement print'!$AO15,AS$4)&amp;"")</f>
        <v>3000</v>
      </c>
      <c r="J14" s="416" t="str">
        <f ca="1">IF(OR($AO15="",AT$4=""),"",INDEX('Statement(edit)'!$E$5:$AD$29,'statement print'!$AO15,AT$4)&amp;"")</f>
        <v>120</v>
      </c>
      <c r="K14" s="416" t="str">
        <f ca="1">IF(OR($AO15="",AU$4=""),"",INDEX('Statement(edit)'!$E$5:$AD$29,'statement print'!$AO15,AU$4)&amp;"")</f>
        <v>0</v>
      </c>
      <c r="L14" s="416" t="str">
        <f ca="1">IF(OR($AO15="",AV$4=""),"",INDEX('Statement(edit)'!$E$5:$AD$29,'statement print'!$AO15,AV$4)&amp;"")</f>
        <v>200</v>
      </c>
      <c r="M14" s="416" t="str">
        <f ca="1">IF(OR($AO15="",AW$4=""),"",INDEX('Statement(edit)'!$E$5:$AD$29,'statement print'!$AO15,AW$4)&amp;"")</f>
        <v>96557</v>
      </c>
      <c r="N14" s="416" t="str">
        <f ca="1">IF(B14="Sign of employee","Sign of DDO",IF(OR($AO15="",AX$4=""),"",INDEX('Statement(edit)'!$E$5:$AD$29,'statement print'!$AO15,AX$4)&amp;""))</f>
        <v>37.31</v>
      </c>
      <c r="O14" s="416" t="str">
        <f ca="1">IF(OR($AO15="",AY$4=""),"",INDEX('Statement(edit)'!$E$5:$AD$29,'statement print'!$AO15,AY$4)&amp;"")</f>
        <v>10</v>
      </c>
      <c r="P14" s="416" t="str">
        <f ca="1">IF(OR($AO15="",AZ$4=""),"",INDEX('Statement(edit)'!$E$5:$AD$29,'statement print'!$AO15,AZ$4)&amp;"")</f>
        <v/>
      </c>
      <c r="Q14" s="416" t="str">
        <f ca="1">IF(OR($AO15="",BA$4=""),"",INDEX('Statement(edit)'!$E$5:$AD$29,'statement print'!$AO15,BA$4)&amp;"")</f>
        <v/>
      </c>
      <c r="R14" s="416" t="str">
        <f ca="1">IF(OR($AO15="",BB$4=""),"",INDEX('Statement(edit)'!$E$5:$AD$29,'statement print'!$AO15,BB$4)&amp;"")</f>
        <v/>
      </c>
      <c r="S14" s="416" t="str">
        <f ca="1">IF(OR($AO15="",BC$4=""),"",INDEX('Statement(edit)'!$E$5:$AD$29,'statement print'!$AO15,BC$4)&amp;"")</f>
        <v/>
      </c>
      <c r="T14" s="416" t="str">
        <f ca="1">IF(OR($AO15="",BD$4=""),"",INDEX('Statement(edit)'!$E$5:$AD$29,'statement print'!$AO15,BD$4)&amp;"")</f>
        <v/>
      </c>
      <c r="U14" s="416" t="str">
        <f ca="1">IF(OR($AO15="",BE$4=""),"",INDEX('Statement(edit)'!$E$5:$AD$29,'statement print'!$AO15,BE$4)&amp;"")</f>
        <v/>
      </c>
      <c r="V14" s="416" t="str">
        <f ca="1">IF(OR($AO15="",BF$4=""),"",INDEX('Statement(edit)'!$E$5:$AD$29,'statement print'!$AO15,BF$4)&amp;"")</f>
        <v/>
      </c>
      <c r="W14" s="416" t="str">
        <f ca="1">IF(OR($AO15="",BG$4=""),"",INDEX('Statement(edit)'!$E$5:$AD$29,'statement print'!$AO15,BG$4)&amp;"")</f>
        <v/>
      </c>
      <c r="X14" s="416" t="str">
        <f ca="1">IF(OR($AO15="",BH$4=""),"",INDEX('Statement(edit)'!$E$5:$AD$29,'statement print'!$AO15,BH$4)&amp;"")</f>
        <v/>
      </c>
      <c r="Y14" s="416" t="str">
        <f ca="1">IF(OR($AO15="",BI$4=""),"",INDEX('Statement(edit)'!$E$5:$AD$29,'statement print'!$AO15,BI$4)&amp;"")</f>
        <v/>
      </c>
      <c r="Z14" s="416" t="str">
        <f ca="1">IF(OR($AO15="",BJ$4=""),"",INDEX('Statement(edit)'!$E$5:$AD$29,'statement print'!$AO15,BJ$4)&amp;"")</f>
        <v/>
      </c>
      <c r="AA14" s="459">
        <v>1</v>
      </c>
      <c r="AN14" s="409">
        <f>IF(OR('Statement(edit)'!B14="",'Statement(edit)'!R14=0),"",DATA!CN13)</f>
        <v>10</v>
      </c>
      <c r="AO14">
        <f ca="1">IFERROR(SMALL($AN$5:$AN$29,DATA!CN13),"")</f>
        <v>10</v>
      </c>
    </row>
    <row r="15" spans="1:66" ht="22.5" customHeight="1" x14ac:dyDescent="0.25">
      <c r="A15" s="415" t="str">
        <f ca="1">IF($AO16="","",INDEX('Statement(edit)'!$A$5:$D$29,'statement print'!$AO16,1)&amp;"")</f>
        <v>12</v>
      </c>
      <c r="B15" s="423" t="str">
        <f ca="1">IF(B13="TOTAL","Sign of employee",IF($AO16="","",INDEX('Statement(edit)'!$A$5:$D$29,'statement print'!$AO16,2)&amp;""))</f>
        <v>01 to 28/Feb/2026</v>
      </c>
      <c r="C15" s="786" t="str">
        <f ca="1">IF($AO16="","",INDEX('Statement(edit)'!$A$5:$D$29,'statement print'!$AO16,3)&amp;"")</f>
        <v/>
      </c>
      <c r="D15" s="415">
        <f ca="1">IF($AO16="","",INDEX('Statement(edit)'!$A$5:$D$29,'statement print'!$AO16,4))</f>
        <v>74770</v>
      </c>
      <c r="E15" s="416" t="str">
        <f ca="1">IF(OR($AO16="",AO$4=""),"",INDEX('Statement(edit)'!$E$5:$AD$29,'statement print'!$AO16,AO$4)&amp;"")</f>
        <v>27897</v>
      </c>
      <c r="F15" s="416" t="str">
        <f ca="1">IF(OR($AO16="",AP$4=""),"",INDEX('Statement(edit)'!$E$5:$AD$29,'statement print'!$AO16,AP$4)&amp;"")</f>
        <v>7477</v>
      </c>
      <c r="G15" s="416" t="str">
        <f ca="1">IF(OR($AO16="",AQ$4=""),"",INDEX('Statement(edit)'!$E$5:$AD$29,'statement print'!$AO16,AQ$4)&amp;"")</f>
        <v>110144</v>
      </c>
      <c r="H15" s="416" t="str">
        <f ca="1">IF(OR($AO16="",AR$4=""),"",INDEX('Statement(edit)'!$E$5:$AD$29,'statement print'!$AO16,AR$4)&amp;"")</f>
        <v>10267</v>
      </c>
      <c r="I15" s="416" t="str">
        <f ca="1">IF(OR($AO16="",AS$4=""),"",INDEX('Statement(edit)'!$E$5:$AD$29,'statement print'!$AO16,AS$4)&amp;"")</f>
        <v>3000</v>
      </c>
      <c r="J15" s="416" t="str">
        <f ca="1">IF(OR($AO16="",AT$4=""),"",INDEX('Statement(edit)'!$E$5:$AD$29,'statement print'!$AO16,AT$4)&amp;"")</f>
        <v>120</v>
      </c>
      <c r="K15" s="416" t="str">
        <f ca="1">IF(OR($AO16="",AU$4=""),"",INDEX('Statement(edit)'!$E$5:$AD$29,'statement print'!$AO16,AU$4)&amp;"")</f>
        <v>0</v>
      </c>
      <c r="L15" s="416" t="str">
        <f ca="1">IF(OR($AO16="",AV$4=""),"",INDEX('Statement(edit)'!$E$5:$AD$29,'statement print'!$AO16,AV$4)&amp;"")</f>
        <v>200</v>
      </c>
      <c r="M15" s="416" t="str">
        <f ca="1">IF(OR($AO16="",AW$4=""),"",INDEX('Statement(edit)'!$E$5:$AD$29,'statement print'!$AO16,AW$4)&amp;"")</f>
        <v>96557</v>
      </c>
      <c r="N15" s="416" t="str">
        <f ca="1">IF(B15="Sign of employee","Sign of DDO",IF(OR($AO16="",AX$4=""),"",INDEX('Statement(edit)'!$E$5:$AD$29,'statement print'!$AO16,AX$4)&amp;""))</f>
        <v>37.31</v>
      </c>
      <c r="O15" s="416" t="str">
        <f ca="1">IF(OR($AO16="",AY$4=""),"",INDEX('Statement(edit)'!$E$5:$AD$29,'statement print'!$AO16,AY$4)&amp;"")</f>
        <v>10</v>
      </c>
      <c r="P15" s="416" t="str">
        <f ca="1">IF(OR($AO16="",AZ$4=""),"",INDEX('Statement(edit)'!$E$5:$AD$29,'statement print'!$AO16,AZ$4)&amp;"")</f>
        <v/>
      </c>
      <c r="Q15" s="416" t="str">
        <f ca="1">IF(OR($AO16="",BA$4=""),"",INDEX('Statement(edit)'!$E$5:$AD$29,'statement print'!$AO16,BA$4)&amp;"")</f>
        <v/>
      </c>
      <c r="R15" s="416" t="str">
        <f ca="1">IF(OR($AO16="",BB$4=""),"",INDEX('Statement(edit)'!$E$5:$AD$29,'statement print'!$AO16,BB$4)&amp;"")</f>
        <v/>
      </c>
      <c r="S15" s="416" t="str">
        <f ca="1">IF(OR($AO16="",BC$4=""),"",INDEX('Statement(edit)'!$E$5:$AD$29,'statement print'!$AO16,BC$4)&amp;"")</f>
        <v/>
      </c>
      <c r="T15" s="416" t="str">
        <f ca="1">IF(OR($AO16="",BD$4=""),"",INDEX('Statement(edit)'!$E$5:$AD$29,'statement print'!$AO16,BD$4)&amp;"")</f>
        <v/>
      </c>
      <c r="U15" s="416" t="str">
        <f ca="1">IF(OR($AO16="",BE$4=""),"",INDEX('Statement(edit)'!$E$5:$AD$29,'statement print'!$AO16,BE$4)&amp;"")</f>
        <v/>
      </c>
      <c r="V15" s="416" t="str">
        <f ca="1">IF(OR($AO16="",BF$4=""),"",INDEX('Statement(edit)'!$E$5:$AD$29,'statement print'!$AO16,BF$4)&amp;"")</f>
        <v/>
      </c>
      <c r="W15" s="416" t="str">
        <f ca="1">IF(OR($AO16="",BG$4=""),"",INDEX('Statement(edit)'!$E$5:$AD$29,'statement print'!$AO16,BG$4)&amp;"")</f>
        <v/>
      </c>
      <c r="X15" s="416" t="str">
        <f ca="1">IF(OR($AO16="",BH$4=""),"",INDEX('Statement(edit)'!$E$5:$AD$29,'statement print'!$AO16,BH$4)&amp;"")</f>
        <v/>
      </c>
      <c r="Y15" s="416" t="str">
        <f ca="1">IF(OR($AO16="",BI$4=""),"",INDEX('Statement(edit)'!$E$5:$AD$29,'statement print'!$AO16,BI$4)&amp;"")</f>
        <v/>
      </c>
      <c r="Z15" s="416" t="str">
        <f ca="1">IF(OR($AO16="",BJ$4=""),"",INDEX('Statement(edit)'!$E$5:$AD$29,'statement print'!$AO16,BJ$4)&amp;"")</f>
        <v/>
      </c>
      <c r="AA15" s="459">
        <v>1</v>
      </c>
      <c r="AN15" s="409">
        <f>IF(OR('Statement(edit)'!B15="",'Statement(edit)'!R15=0),"",DATA!CN14)</f>
        <v>11</v>
      </c>
      <c r="AO15">
        <f ca="1">IFERROR(SMALL($AN$5:$AN$29,DATA!CN14),"")</f>
        <v>11</v>
      </c>
    </row>
    <row r="16" spans="1:66" ht="22.5" customHeight="1" x14ac:dyDescent="0.25">
      <c r="A16" s="415" t="str">
        <f ca="1">IF($AO17="","",INDEX('Statement(edit)'!$A$5:$D$29,'statement print'!$AO17,1)&amp;"")</f>
        <v/>
      </c>
      <c r="B16" s="423" t="str">
        <f ca="1">IF(B14="TOTAL","Sign of employee",IF($AO17="","",INDEX('Statement(edit)'!$A$5:$D$29,'statement print'!$AO17,2)&amp;""))</f>
        <v>TOTAL</v>
      </c>
      <c r="C16" s="786" t="str">
        <f ca="1">IF($AO17="","",INDEX('Statement(edit)'!$A$5:$D$29,'statement print'!$AO17,3)&amp;"")</f>
        <v/>
      </c>
      <c r="D16" s="415">
        <f ca="1">IF($AO17="","",INDEX('Statement(edit)'!$A$5:$D$29,'statement print'!$AO17,4))</f>
        <v>893320</v>
      </c>
      <c r="E16" s="416" t="str">
        <f ca="1">IF(OR($AO17="",AO$4=""),"",INDEX('Statement(edit)'!$E$5:$AD$29,'statement print'!$AO17,AO$4)&amp;"")</f>
        <v>314390</v>
      </c>
      <c r="F16" s="416" t="str">
        <f ca="1">IF(OR($AO17="",AP$4=""),"",INDEX('Statement(edit)'!$E$5:$AD$29,'statement print'!$AO17,AP$4)&amp;"")</f>
        <v>89332</v>
      </c>
      <c r="G16" s="416" t="str">
        <f ca="1">IF(OR($AO17="",AQ$4=""),"",INDEX('Statement(edit)'!$E$5:$AD$29,'statement print'!$AO17,AQ$4)&amp;"")</f>
        <v>1297042</v>
      </c>
      <c r="H16" s="416" t="str">
        <f ca="1">IF(OR($AO17="",AR$4=""),"",INDEX('Statement(edit)'!$E$5:$AD$29,'statement print'!$AO17,AR$4)&amp;"")</f>
        <v>120776</v>
      </c>
      <c r="I16" s="416" t="str">
        <f ca="1">IF(OR($AO17="",AS$4=""),"",INDEX('Statement(edit)'!$E$5:$AD$29,'statement print'!$AO17,AS$4)&amp;"")</f>
        <v>36000</v>
      </c>
      <c r="J16" s="416" t="str">
        <f ca="1">IF(OR($AO17="",AT$4=""),"",INDEX('Statement(edit)'!$E$5:$AD$29,'statement print'!$AO17,AT$4)&amp;"")</f>
        <v>1440</v>
      </c>
      <c r="K16" s="416" t="str">
        <f ca="1">IF(OR($AO17="",AU$4=""),"",INDEX('Statement(edit)'!$E$5:$AD$29,'statement print'!$AO17,AU$4)&amp;"")</f>
        <v>120</v>
      </c>
      <c r="L16" s="416" t="str">
        <f ca="1">IF(OR($AO17="",AV$4=""),"",INDEX('Statement(edit)'!$E$5:$AD$29,'statement print'!$AO17,AV$4)&amp;"")</f>
        <v>2400</v>
      </c>
      <c r="M16" s="416" t="str">
        <f ca="1">IF(OR($AO17="",AW$4=""),"",INDEX('Statement(edit)'!$E$5:$AD$29,'statement print'!$AO17,AW$4)&amp;"")</f>
        <v>1136306</v>
      </c>
      <c r="N16" s="416" t="str">
        <f ca="1">IF(B16="Sign of employee","Sign of DDO",IF(OR($AO17="",AX$4=""),"",INDEX('Statement(edit)'!$E$5:$AD$29,'statement print'!$AO17,AX$4)&amp;""))</f>
        <v/>
      </c>
      <c r="O16" s="416" t="str">
        <f ca="1">IF(OR($AO17="",AY$4=""),"",INDEX('Statement(edit)'!$E$5:$AD$29,'statement print'!$AO17,AY$4)&amp;"")</f>
        <v/>
      </c>
      <c r="P16" s="416" t="str">
        <f ca="1">IF(OR($AO17="",AZ$4=""),"",INDEX('Statement(edit)'!$E$5:$AD$29,'statement print'!$AO17,AZ$4)&amp;"")</f>
        <v/>
      </c>
      <c r="Q16" s="416" t="str">
        <f ca="1">IF(OR($AO17="",BA$4=""),"",INDEX('Statement(edit)'!$E$5:$AD$29,'statement print'!$AO17,BA$4)&amp;"")</f>
        <v/>
      </c>
      <c r="R16" s="416" t="str">
        <f ca="1">IF(OR($AO17="",BB$4=""),"",INDEX('Statement(edit)'!$E$5:$AD$29,'statement print'!$AO17,BB$4)&amp;"")</f>
        <v/>
      </c>
      <c r="S16" s="416" t="str">
        <f ca="1">IF(OR($AO17="",BC$4=""),"",INDEX('Statement(edit)'!$E$5:$AD$29,'statement print'!$AO17,BC$4)&amp;"")</f>
        <v/>
      </c>
      <c r="T16" s="416" t="str">
        <f ca="1">IF(OR($AO17="",BD$4=""),"",INDEX('Statement(edit)'!$E$5:$AD$29,'statement print'!$AO17,BD$4)&amp;"")</f>
        <v/>
      </c>
      <c r="U16" s="416" t="str">
        <f ca="1">IF(OR($AO17="",BE$4=""),"",INDEX('Statement(edit)'!$E$5:$AD$29,'statement print'!$AO17,BE$4)&amp;"")</f>
        <v/>
      </c>
      <c r="V16" s="416" t="str">
        <f ca="1">IF(OR($AO17="",BF$4=""),"",INDEX('Statement(edit)'!$E$5:$AD$29,'statement print'!$AO17,BF$4)&amp;"")</f>
        <v/>
      </c>
      <c r="W16" s="416" t="str">
        <f ca="1">IF(OR($AO17="",BG$4=""),"",INDEX('Statement(edit)'!$E$5:$AD$29,'statement print'!$AO17,BG$4)&amp;"")</f>
        <v/>
      </c>
      <c r="X16" s="416" t="str">
        <f ca="1">IF(OR($AO17="",BH$4=""),"",INDEX('Statement(edit)'!$E$5:$AD$29,'statement print'!$AO17,BH$4)&amp;"")</f>
        <v/>
      </c>
      <c r="Y16" s="416" t="str">
        <f ca="1">IF(OR($AO17="",BI$4=""),"",INDEX('Statement(edit)'!$E$5:$AD$29,'statement print'!$AO17,BI$4)&amp;"")</f>
        <v/>
      </c>
      <c r="Z16" s="416" t="str">
        <f ca="1">IF(OR($AO17="",BJ$4=""),"",INDEX('Statement(edit)'!$E$5:$AD$29,'statement print'!$AO17,BJ$4)&amp;"")</f>
        <v/>
      </c>
      <c r="AA16" s="459">
        <v>1</v>
      </c>
      <c r="AN16" s="409">
        <f>IF(OR('Statement(edit)'!B16="",'Statement(edit)'!R16=0),"",DATA!CN15)</f>
        <v>12</v>
      </c>
      <c r="AO16">
        <f ca="1">IFERROR(SMALL($AN$5:$AN$29,DATA!CN15),"")</f>
        <v>12</v>
      </c>
    </row>
    <row r="17" spans="1:41" ht="27.4" customHeight="1" x14ac:dyDescent="0.25">
      <c r="A17" s="415" t="str">
        <f ca="1">IF($AO18="","",INDEX('Statement(edit)'!$A$5:$D$29,'statement print'!$AO18,1)&amp;"")</f>
        <v/>
      </c>
      <c r="B17" s="423" t="str">
        <f ca="1">IF(B15="TOTAL","Sign of employee",IF($AO18="","",INDEX('Statement(edit)'!$A$5:$D$29,'statement print'!$AO18,2)&amp;""))</f>
        <v/>
      </c>
      <c r="C17" s="786" t="str">
        <f ca="1">IF($AO18="","",INDEX('Statement(edit)'!$A$5:$D$29,'statement print'!$AO18,3)&amp;"")</f>
        <v/>
      </c>
      <c r="D17" s="415" t="str">
        <f ca="1">IF($AO18="","",INDEX('Statement(edit)'!$A$5:$D$29,'statement print'!$AO18,4))</f>
        <v/>
      </c>
      <c r="E17" s="416" t="str">
        <f ca="1">IF(OR($AO18="",AO$4=""),"",INDEX('Statement(edit)'!$E$5:$AD$29,'statement print'!$AO18,AO$4)&amp;"")</f>
        <v/>
      </c>
      <c r="F17" s="416" t="str">
        <f ca="1">IF(OR($AO18="",AP$4=""),"",INDEX('Statement(edit)'!$E$5:$AD$29,'statement print'!$AO18,AP$4)&amp;"")</f>
        <v/>
      </c>
      <c r="G17" s="416" t="str">
        <f ca="1">IF(OR($AO18="",AQ$4=""),"",INDEX('Statement(edit)'!$E$5:$AD$29,'statement print'!$AO18,AQ$4)&amp;"")</f>
        <v/>
      </c>
      <c r="H17" s="416" t="str">
        <f ca="1">IF(OR($AO18="",AR$4=""),"",INDEX('Statement(edit)'!$E$5:$AD$29,'statement print'!$AO18,AR$4)&amp;"")</f>
        <v/>
      </c>
      <c r="I17" s="416" t="str">
        <f ca="1">IF(OR($AO18="",AS$4=""),"",INDEX('Statement(edit)'!$E$5:$AD$29,'statement print'!$AO18,AS$4)&amp;"")</f>
        <v/>
      </c>
      <c r="J17" s="416" t="str">
        <f ca="1">IF(OR($AO18="",AT$4=""),"",INDEX('Statement(edit)'!$E$5:$AD$29,'statement print'!$AO18,AT$4)&amp;"")</f>
        <v/>
      </c>
      <c r="K17" s="416" t="str">
        <f ca="1">IF(OR($AO18="",AU$4=""),"",INDEX('Statement(edit)'!$E$5:$AD$29,'statement print'!$AO18,AU$4)&amp;"")</f>
        <v/>
      </c>
      <c r="L17" s="416" t="str">
        <f ca="1">IF(OR($AO18="",AV$4=""),"",INDEX('Statement(edit)'!$E$5:$AD$29,'statement print'!$AO18,AV$4)&amp;"")</f>
        <v/>
      </c>
      <c r="M17" s="416" t="str">
        <f ca="1">IF(OR($AO18="",AW$4=""),"",INDEX('Statement(edit)'!$E$5:$AD$29,'statement print'!$AO18,AW$4)&amp;"")</f>
        <v/>
      </c>
      <c r="N17" s="416" t="str">
        <f ca="1">IF(B17="Sign of employee","Sign of DDO",IF(OR($AO18="",AX$4=""),"",INDEX('Statement(edit)'!$E$5:$AD$29,'statement print'!$AO18,AX$4)&amp;""))</f>
        <v/>
      </c>
      <c r="O17" s="416" t="str">
        <f ca="1">IF(OR($AO18="",AY$4=""),"",INDEX('Statement(edit)'!$E$5:$AD$29,'statement print'!$AO18,AY$4)&amp;"")</f>
        <v/>
      </c>
      <c r="P17" s="416" t="str">
        <f ca="1">IF(OR($AO18="",AZ$4=""),"",INDEX('Statement(edit)'!$E$5:$AD$29,'statement print'!$AO18,AZ$4)&amp;"")</f>
        <v/>
      </c>
      <c r="Q17" s="416" t="str">
        <f ca="1">IF(OR($AO18="",BA$4=""),"",INDEX('Statement(edit)'!$E$5:$AD$29,'statement print'!$AO18,BA$4)&amp;"")</f>
        <v/>
      </c>
      <c r="R17" s="416" t="str">
        <f ca="1">IF(OR($AO18="",BB$4=""),"",INDEX('Statement(edit)'!$E$5:$AD$29,'statement print'!$AO18,BB$4)&amp;"")</f>
        <v/>
      </c>
      <c r="S17" s="416" t="str">
        <f ca="1">IF(OR($AO18="",BC$4=""),"",INDEX('Statement(edit)'!$E$5:$AD$29,'statement print'!$AO18,BC$4)&amp;"")</f>
        <v/>
      </c>
      <c r="T17" s="416" t="str">
        <f ca="1">IF(OR($AO18="",BD$4=""),"",INDEX('Statement(edit)'!$E$5:$AD$29,'statement print'!$AO18,BD$4)&amp;"")</f>
        <v/>
      </c>
      <c r="U17" s="416" t="str">
        <f ca="1">IF(OR($AO18="",BE$4=""),"",INDEX('Statement(edit)'!$E$5:$AD$29,'statement print'!$AO18,BE$4)&amp;"")</f>
        <v/>
      </c>
      <c r="V17" s="416" t="str">
        <f ca="1">IF(OR($AO18="",BF$4=""),"",INDEX('Statement(edit)'!$E$5:$AD$29,'statement print'!$AO18,BF$4)&amp;"")</f>
        <v/>
      </c>
      <c r="W17" s="416" t="str">
        <f ca="1">IF(OR($AO18="",BG$4=""),"",INDEX('Statement(edit)'!$E$5:$AD$29,'statement print'!$AO18,BG$4)&amp;"")</f>
        <v/>
      </c>
      <c r="X17" s="416" t="str">
        <f ca="1">IF(OR($AO18="",BH$4=""),"",INDEX('Statement(edit)'!$E$5:$AD$29,'statement print'!$AO18,BH$4)&amp;"")</f>
        <v/>
      </c>
      <c r="Y17" s="416" t="str">
        <f ca="1">IF(OR($AO18="",BI$4=""),"",INDEX('Statement(edit)'!$E$5:$AD$29,'statement print'!$AO18,BI$4)&amp;"")</f>
        <v/>
      </c>
      <c r="Z17" s="416" t="str">
        <f ca="1">IF(OR($AO18="",BJ$4=""),"",INDEX('Statement(edit)'!$E$5:$AD$29,'statement print'!$AO18,BJ$4)&amp;"")</f>
        <v/>
      </c>
      <c r="AA17" s="440" t="str">
        <f ca="1">IF(B17="","",1)</f>
        <v/>
      </c>
      <c r="AN17" s="409" t="str">
        <f>IF(OR('Statement(edit)'!B17="",'Statement(edit)'!R17=0),"",DATA!CN16)</f>
        <v/>
      </c>
      <c r="AO17">
        <f ca="1">IFERROR(SMALL($AN$5:$AN$29,DATA!CN16),"")</f>
        <v>25</v>
      </c>
    </row>
    <row r="18" spans="1:41" ht="27.4" customHeight="1" x14ac:dyDescent="0.25">
      <c r="A18" s="415" t="str">
        <f ca="1">IF($AO19="","",INDEX('Statement(edit)'!$A$5:$D$29,'statement print'!$AO19,1)&amp;"")</f>
        <v/>
      </c>
      <c r="B18" s="423" t="str">
        <f ca="1">IF(B16="TOTAL","Sign of employee",IF($AO19="","",INDEX('Statement(edit)'!$A$5:$D$29,'statement print'!$AO19,2)&amp;""))</f>
        <v>Sign of employee</v>
      </c>
      <c r="C18" s="786" t="str">
        <f ca="1">IF($AO19="","",INDEX('Statement(edit)'!$A$5:$D$29,'statement print'!$AO19,3)&amp;"")</f>
        <v/>
      </c>
      <c r="D18" s="415" t="str">
        <f ca="1">IF($AO19="","",INDEX('Statement(edit)'!$A$5:$D$29,'statement print'!$AO19,4))</f>
        <v/>
      </c>
      <c r="E18" s="416" t="str">
        <f ca="1">IF(OR($AO19="",AO$4=""),"",INDEX('Statement(edit)'!$E$5:$AD$29,'statement print'!$AO19,AO$4)&amp;"")</f>
        <v/>
      </c>
      <c r="F18" s="416" t="str">
        <f ca="1">IF(OR($AO19="",AP$4=""),"",INDEX('Statement(edit)'!$E$5:$AD$29,'statement print'!$AO19,AP$4)&amp;"")</f>
        <v/>
      </c>
      <c r="G18" s="416" t="str">
        <f ca="1">IF(OR($AO19="",AQ$4=""),"",INDEX('Statement(edit)'!$E$5:$AD$29,'statement print'!$AO19,AQ$4)&amp;"")</f>
        <v/>
      </c>
      <c r="H18" s="416" t="str">
        <f ca="1">IF(OR($AO19="",AR$4=""),"",INDEX('Statement(edit)'!$E$5:$AD$29,'statement print'!$AO19,AR$4)&amp;"")</f>
        <v/>
      </c>
      <c r="I18" s="416" t="str">
        <f ca="1">IF(OR($AO19="",AS$4=""),"",INDEX('Statement(edit)'!$E$5:$AD$29,'statement print'!$AO19,AS$4)&amp;"")</f>
        <v/>
      </c>
      <c r="J18" s="416" t="str">
        <f ca="1">IF(OR($AO19="",AT$4=""),"",INDEX('Statement(edit)'!$E$5:$AD$29,'statement print'!$AO19,AT$4)&amp;"")</f>
        <v/>
      </c>
      <c r="K18" s="416" t="str">
        <f ca="1">IF(OR($AO19="",AU$4=""),"",INDEX('Statement(edit)'!$E$5:$AD$29,'statement print'!$AO19,AU$4)&amp;"")</f>
        <v/>
      </c>
      <c r="L18" s="416" t="str">
        <f ca="1">IF(OR($AO19="",AV$4=""),"",INDEX('Statement(edit)'!$E$5:$AD$29,'statement print'!$AO19,AV$4)&amp;"")</f>
        <v/>
      </c>
      <c r="M18" s="416" t="str">
        <f ca="1">IF(OR($AO19="",AW$4=""),"",INDEX('Statement(edit)'!$E$5:$AD$29,'statement print'!$AO19,AW$4)&amp;"")</f>
        <v/>
      </c>
      <c r="N18" s="416" t="str">
        <f ca="1">IF(B18="Sign of employee","Sign of DDO",IF(OR($AO19="",AX$4=""),"",INDEX('Statement(edit)'!$E$5:$AD$29,'statement print'!$AO19,AX$4)&amp;""))</f>
        <v>Sign of DDO</v>
      </c>
      <c r="O18" s="416" t="str">
        <f ca="1">IF(OR($AO19="",AY$4=""),"",INDEX('Statement(edit)'!$E$5:$AD$29,'statement print'!$AO19,AY$4)&amp;"")</f>
        <v/>
      </c>
      <c r="P18" s="416" t="str">
        <f ca="1">IF(OR($AO19="",AZ$4=""),"",INDEX('Statement(edit)'!$E$5:$AD$29,'statement print'!$AO19,AZ$4)&amp;"")</f>
        <v/>
      </c>
      <c r="Q18" s="416" t="str">
        <f ca="1">IF(OR($AO19="",BA$4=""),"",INDEX('Statement(edit)'!$E$5:$AD$29,'statement print'!$AO19,BA$4)&amp;"")</f>
        <v/>
      </c>
      <c r="R18" s="416" t="str">
        <f ca="1">IF(OR($AO19="",BB$4=""),"",INDEX('Statement(edit)'!$E$5:$AD$29,'statement print'!$AO19,BB$4)&amp;"")</f>
        <v/>
      </c>
      <c r="S18" s="416" t="str">
        <f ca="1">IF(OR($AO19="",BC$4=""),"",INDEX('Statement(edit)'!$E$5:$AD$29,'statement print'!$AO19,BC$4)&amp;"")</f>
        <v/>
      </c>
      <c r="T18" s="416" t="str">
        <f ca="1">IF(OR($AO19="",BD$4=""),"",INDEX('Statement(edit)'!$E$5:$AD$29,'statement print'!$AO19,BD$4)&amp;"")</f>
        <v/>
      </c>
      <c r="U18" s="416" t="str">
        <f ca="1">IF(OR($AO19="",BE$4=""),"",INDEX('Statement(edit)'!$E$5:$AD$29,'statement print'!$AO19,BE$4)&amp;"")</f>
        <v/>
      </c>
      <c r="V18" s="416" t="str">
        <f ca="1">IF(OR($AO19="",BF$4=""),"",INDEX('Statement(edit)'!$E$5:$AD$29,'statement print'!$AO19,BF$4)&amp;"")</f>
        <v/>
      </c>
      <c r="W18" s="416" t="str">
        <f ca="1">IF(OR($AO19="",BG$4=""),"",INDEX('Statement(edit)'!$E$5:$AD$29,'statement print'!$AO19,BG$4)&amp;"")</f>
        <v/>
      </c>
      <c r="X18" s="416" t="str">
        <f ca="1">IF(OR($AO19="",BH$4=""),"",INDEX('Statement(edit)'!$E$5:$AD$29,'statement print'!$AO19,BH$4)&amp;"")</f>
        <v/>
      </c>
      <c r="Y18" s="416" t="str">
        <f ca="1">IF(OR($AO19="",BI$4=""),"",INDEX('Statement(edit)'!$E$5:$AD$29,'statement print'!$AO19,BI$4)&amp;"")</f>
        <v/>
      </c>
      <c r="Z18" s="416" t="str">
        <f ca="1">IF(OR($AO19="",BJ$4=""),"",INDEX('Statement(edit)'!$E$5:$AD$29,'statement print'!$AO19,BJ$4)&amp;"")</f>
        <v/>
      </c>
      <c r="AA18" s="440">
        <f t="shared" ref="AA18:AA26" ca="1" si="0">IF(B18="","",1)</f>
        <v>1</v>
      </c>
      <c r="AN18" s="409" t="str">
        <f>IF(OR('Statement(edit)'!B18="",'Statement(edit)'!R18=0),"",DATA!CN17)</f>
        <v/>
      </c>
      <c r="AO18" t="str">
        <f ca="1">IFERROR(SMALL($AN$5:$AN$29,DATA!CN17),"")</f>
        <v/>
      </c>
    </row>
    <row r="19" spans="1:41" ht="27.4" customHeight="1" x14ac:dyDescent="0.25">
      <c r="A19" s="415" t="str">
        <f ca="1">IF($AO20="","",INDEX('Statement(edit)'!$A$5:$D$29,'statement print'!$AO20,1)&amp;"")</f>
        <v/>
      </c>
      <c r="B19" s="423" t="str">
        <f ca="1">IF(B17="TOTAL","Sign of employee",IF($AO20="","",INDEX('Statement(edit)'!$A$5:$D$29,'statement print'!$AO20,2)&amp;""))</f>
        <v/>
      </c>
      <c r="C19" s="786" t="str">
        <f ca="1">IF($AO20="","",INDEX('Statement(edit)'!$A$5:$D$29,'statement print'!$AO20,3)&amp;"")</f>
        <v/>
      </c>
      <c r="D19" s="415" t="str">
        <f ca="1">IF($AO20="","",INDEX('Statement(edit)'!$A$5:$D$29,'statement print'!$AO20,4))</f>
        <v/>
      </c>
      <c r="E19" s="416" t="str">
        <f ca="1">IF(OR($AO20="",AO$4=""),"",INDEX('Statement(edit)'!$E$5:$AD$29,'statement print'!$AO20,AO$4)&amp;"")</f>
        <v/>
      </c>
      <c r="F19" s="416" t="str">
        <f ca="1">IF(OR($AO20="",AP$4=""),"",INDEX('Statement(edit)'!$E$5:$AD$29,'statement print'!$AO20,AP$4)&amp;"")</f>
        <v/>
      </c>
      <c r="G19" s="416" t="str">
        <f ca="1">IF(OR($AO20="",AQ$4=""),"",INDEX('Statement(edit)'!$E$5:$AD$29,'statement print'!$AO20,AQ$4)&amp;"")</f>
        <v/>
      </c>
      <c r="H19" s="416" t="str">
        <f ca="1">IF(OR($AO20="",AR$4=""),"",INDEX('Statement(edit)'!$E$5:$AD$29,'statement print'!$AO20,AR$4)&amp;"")</f>
        <v/>
      </c>
      <c r="I19" s="416" t="str">
        <f ca="1">IF(OR($AO20="",AS$4=""),"",INDEX('Statement(edit)'!$E$5:$AD$29,'statement print'!$AO20,AS$4)&amp;"")</f>
        <v/>
      </c>
      <c r="J19" s="416" t="str">
        <f ca="1">IF(OR($AO20="",AT$4=""),"",INDEX('Statement(edit)'!$E$5:$AD$29,'statement print'!$AO20,AT$4)&amp;"")</f>
        <v/>
      </c>
      <c r="K19" s="416" t="str">
        <f ca="1">IF(OR($AO20="",AU$4=""),"",INDEX('Statement(edit)'!$E$5:$AD$29,'statement print'!$AO20,AU$4)&amp;"")</f>
        <v/>
      </c>
      <c r="L19" s="416" t="str">
        <f ca="1">IF(OR($AO20="",AV$4=""),"",INDEX('Statement(edit)'!$E$5:$AD$29,'statement print'!$AO20,AV$4)&amp;"")</f>
        <v/>
      </c>
      <c r="M19" s="416" t="str">
        <f ca="1">IF(OR($AO20="",AW$4=""),"",INDEX('Statement(edit)'!$E$5:$AD$29,'statement print'!$AO20,AW$4)&amp;"")</f>
        <v/>
      </c>
      <c r="N19" s="416" t="str">
        <f ca="1">IF(B19="Sign of employee","Sign of DDO",IF(OR($AO20="",AX$4=""),"",INDEX('Statement(edit)'!$E$5:$AD$29,'statement print'!$AO20,AX$4)&amp;""))</f>
        <v/>
      </c>
      <c r="O19" s="416" t="str">
        <f ca="1">IF(OR($AO20="",AY$4=""),"",INDEX('Statement(edit)'!$E$5:$AD$29,'statement print'!$AO20,AY$4)&amp;"")</f>
        <v/>
      </c>
      <c r="P19" s="416" t="str">
        <f ca="1">IF(OR($AO20="",AZ$4=""),"",INDEX('Statement(edit)'!$E$5:$AD$29,'statement print'!$AO20,AZ$4)&amp;"")</f>
        <v/>
      </c>
      <c r="Q19" s="416" t="str">
        <f ca="1">IF(OR($AO20="",BA$4=""),"",INDEX('Statement(edit)'!$E$5:$AD$29,'statement print'!$AO20,BA$4)&amp;"")</f>
        <v/>
      </c>
      <c r="R19" s="416" t="str">
        <f ca="1">IF(OR($AO20="",BB$4=""),"",INDEX('Statement(edit)'!$E$5:$AD$29,'statement print'!$AO20,BB$4)&amp;"")</f>
        <v/>
      </c>
      <c r="S19" s="416" t="str">
        <f ca="1">IF(OR($AO20="",BC$4=""),"",INDEX('Statement(edit)'!$E$5:$AD$29,'statement print'!$AO20,BC$4)&amp;"")</f>
        <v/>
      </c>
      <c r="T19" s="416" t="str">
        <f ca="1">IF(OR($AO20="",BD$4=""),"",INDEX('Statement(edit)'!$E$5:$AD$29,'statement print'!$AO20,BD$4)&amp;"")</f>
        <v/>
      </c>
      <c r="U19" s="416" t="str">
        <f ca="1">IF(OR($AO20="",BE$4=""),"",INDEX('Statement(edit)'!$E$5:$AD$29,'statement print'!$AO20,BE$4)&amp;"")</f>
        <v/>
      </c>
      <c r="V19" s="416" t="str">
        <f ca="1">IF(OR($AO20="",BF$4=""),"",INDEX('Statement(edit)'!$E$5:$AD$29,'statement print'!$AO20,BF$4)&amp;"")</f>
        <v/>
      </c>
      <c r="W19" s="416" t="str">
        <f ca="1">IF(OR($AO20="",BG$4=""),"",INDEX('Statement(edit)'!$E$5:$AD$29,'statement print'!$AO20,BG$4)&amp;"")</f>
        <v/>
      </c>
      <c r="X19" s="416" t="str">
        <f ca="1">IF(OR($AO20="",BH$4=""),"",INDEX('Statement(edit)'!$E$5:$AD$29,'statement print'!$AO20,BH$4)&amp;"")</f>
        <v/>
      </c>
      <c r="Y19" s="416" t="str">
        <f ca="1">IF(OR($AO20="",BI$4=""),"",INDEX('Statement(edit)'!$E$5:$AD$29,'statement print'!$AO20,BI$4)&amp;"")</f>
        <v/>
      </c>
      <c r="Z19" s="416" t="str">
        <f ca="1">IF(OR($AO20="",BJ$4=""),"",INDEX('Statement(edit)'!$E$5:$AD$29,'statement print'!$AO20,BJ$4)&amp;"")</f>
        <v/>
      </c>
      <c r="AA19" s="440" t="str">
        <f t="shared" ca="1" si="0"/>
        <v/>
      </c>
      <c r="AN19" s="409" t="str">
        <f>IF(OR('Statement(edit)'!B19="",'Statement(edit)'!R19=0),"",DATA!CN18)</f>
        <v/>
      </c>
      <c r="AO19" t="str">
        <f ca="1">IFERROR(SMALL($AN$5:$AN$29,DATA!CN18),"")</f>
        <v/>
      </c>
    </row>
    <row r="20" spans="1:41" ht="27.4" customHeight="1" x14ac:dyDescent="0.25">
      <c r="A20" s="415" t="str">
        <f ca="1">IF($AO21="","",INDEX('Statement(edit)'!$A$5:$D$29,'statement print'!$AO21,1)&amp;"")</f>
        <v/>
      </c>
      <c r="B20" s="423" t="str">
        <f ca="1">IF(B18="TOTAL","Sign of employee",IF($AO21="","",INDEX('Statement(edit)'!$A$5:$D$29,'statement print'!$AO21,2)&amp;""))</f>
        <v/>
      </c>
      <c r="C20" s="786" t="str">
        <f ca="1">IF($AO21="","",INDEX('Statement(edit)'!$A$5:$D$29,'statement print'!$AO21,3)&amp;"")</f>
        <v/>
      </c>
      <c r="D20" s="415" t="str">
        <f ca="1">IF($AO21="","",INDEX('Statement(edit)'!$A$5:$D$29,'statement print'!$AO21,4))</f>
        <v/>
      </c>
      <c r="E20" s="416" t="str">
        <f ca="1">IF(OR($AO21="",AO$4=""),"",INDEX('Statement(edit)'!$E$5:$AD$29,'statement print'!$AO21,AO$4)&amp;"")</f>
        <v/>
      </c>
      <c r="F20" s="416" t="str">
        <f ca="1">IF(OR($AO21="",AP$4=""),"",INDEX('Statement(edit)'!$E$5:$AD$29,'statement print'!$AO21,AP$4)&amp;"")</f>
        <v/>
      </c>
      <c r="G20" s="416" t="str">
        <f ca="1">IF(OR($AO21="",AQ$4=""),"",INDEX('Statement(edit)'!$E$5:$AD$29,'statement print'!$AO21,AQ$4)&amp;"")</f>
        <v/>
      </c>
      <c r="H20" s="416" t="str">
        <f ca="1">IF(OR($AO21="",AR$4=""),"",INDEX('Statement(edit)'!$E$5:$AD$29,'statement print'!$AO21,AR$4)&amp;"")</f>
        <v/>
      </c>
      <c r="I20" s="416" t="str">
        <f ca="1">IF(OR($AO21="",AS$4=""),"",INDEX('Statement(edit)'!$E$5:$AD$29,'statement print'!$AO21,AS$4)&amp;"")</f>
        <v/>
      </c>
      <c r="J20" s="416" t="str">
        <f ca="1">IF(OR($AO21="",AT$4=""),"",INDEX('Statement(edit)'!$E$5:$AD$29,'statement print'!$AO21,AT$4)&amp;"")</f>
        <v/>
      </c>
      <c r="K20" s="416" t="str">
        <f ca="1">IF(OR($AO21="",AU$4=""),"",INDEX('Statement(edit)'!$E$5:$AD$29,'statement print'!$AO21,AU$4)&amp;"")</f>
        <v/>
      </c>
      <c r="L20" s="416" t="str">
        <f ca="1">IF(OR($AO21="",AV$4=""),"",INDEX('Statement(edit)'!$E$5:$AD$29,'statement print'!$AO21,AV$4)&amp;"")</f>
        <v/>
      </c>
      <c r="M20" s="416" t="str">
        <f ca="1">IF(OR($AO21="",AW$4=""),"",INDEX('Statement(edit)'!$E$5:$AD$29,'statement print'!$AO21,AW$4)&amp;"")</f>
        <v/>
      </c>
      <c r="N20" s="416" t="str">
        <f ca="1">IF(B20="Sign of employee","Sign of DDO",IF(OR($AO21="",AX$4=""),"",INDEX('Statement(edit)'!$E$5:$AD$29,'statement print'!$AO21,AX$4)&amp;""))</f>
        <v/>
      </c>
      <c r="O20" s="416" t="str">
        <f ca="1">IF(OR($AO21="",AY$4=""),"",INDEX('Statement(edit)'!$E$5:$AD$29,'statement print'!$AO21,AY$4)&amp;"")</f>
        <v/>
      </c>
      <c r="P20" s="416" t="str">
        <f ca="1">IF(OR($AO21="",AZ$4=""),"",INDEX('Statement(edit)'!$E$5:$AD$29,'statement print'!$AO21,AZ$4)&amp;"")</f>
        <v/>
      </c>
      <c r="Q20" s="416" t="str">
        <f ca="1">IF(OR($AO21="",BA$4=""),"",INDEX('Statement(edit)'!$E$5:$AD$29,'statement print'!$AO21,BA$4)&amp;"")</f>
        <v/>
      </c>
      <c r="R20" s="416" t="str">
        <f ca="1">IF(OR($AO21="",BB$4=""),"",INDEX('Statement(edit)'!$E$5:$AD$29,'statement print'!$AO21,BB$4)&amp;"")</f>
        <v/>
      </c>
      <c r="S20" s="416" t="str">
        <f ca="1">IF(OR($AO21="",BC$4=""),"",INDEX('Statement(edit)'!$E$5:$AD$29,'statement print'!$AO21,BC$4)&amp;"")</f>
        <v/>
      </c>
      <c r="T20" s="416" t="str">
        <f ca="1">IF(OR($AO21="",BD$4=""),"",INDEX('Statement(edit)'!$E$5:$AD$29,'statement print'!$AO21,BD$4)&amp;"")</f>
        <v/>
      </c>
      <c r="U20" s="416" t="str">
        <f ca="1">IF(OR($AO21="",BE$4=""),"",INDEX('Statement(edit)'!$E$5:$AD$29,'statement print'!$AO21,BE$4)&amp;"")</f>
        <v/>
      </c>
      <c r="V20" s="416" t="str">
        <f ca="1">IF(OR($AO21="",BF$4=""),"",INDEX('Statement(edit)'!$E$5:$AD$29,'statement print'!$AO21,BF$4)&amp;"")</f>
        <v/>
      </c>
      <c r="W20" s="416" t="str">
        <f ca="1">IF(OR($AO21="",BG$4=""),"",INDEX('Statement(edit)'!$E$5:$AD$29,'statement print'!$AO21,BG$4)&amp;"")</f>
        <v/>
      </c>
      <c r="X20" s="416" t="str">
        <f ca="1">IF(OR($AO21="",BH$4=""),"",INDEX('Statement(edit)'!$E$5:$AD$29,'statement print'!$AO21,BH$4)&amp;"")</f>
        <v/>
      </c>
      <c r="Y20" s="416" t="str">
        <f ca="1">IF(OR($AO21="",BI$4=""),"",INDEX('Statement(edit)'!$E$5:$AD$29,'statement print'!$AO21,BI$4)&amp;"")</f>
        <v/>
      </c>
      <c r="Z20" s="416" t="str">
        <f ca="1">IF(OR($AO21="",BJ$4=""),"",INDEX('Statement(edit)'!$E$5:$AD$29,'statement print'!$AO21,BJ$4)&amp;"")</f>
        <v/>
      </c>
      <c r="AA20" s="440" t="str">
        <f t="shared" ca="1" si="0"/>
        <v/>
      </c>
      <c r="AN20" s="409" t="str">
        <f>IF(OR('Statement(edit)'!B20="",'Statement(edit)'!R20=0),"",DATA!CN19)</f>
        <v/>
      </c>
      <c r="AO20" t="str">
        <f ca="1">IFERROR(SMALL($AN$5:$AN$29,DATA!CN19),"")</f>
        <v/>
      </c>
    </row>
    <row r="21" spans="1:41" ht="27.4" customHeight="1" x14ac:dyDescent="0.25">
      <c r="A21" s="415" t="str">
        <f ca="1">IF($AO22="","",INDEX('Statement(edit)'!$A$5:$D$29,'statement print'!$AO22,1)&amp;"")</f>
        <v/>
      </c>
      <c r="B21" s="423" t="str">
        <f ca="1">IF(B19="TOTAL","Sign of employee",IF($AO22="","",INDEX('Statement(edit)'!$A$5:$D$29,'statement print'!$AO22,2)&amp;""))</f>
        <v/>
      </c>
      <c r="C21" s="786" t="str">
        <f ca="1">IF($AO22="","",INDEX('Statement(edit)'!$A$5:$D$29,'statement print'!$AO22,3)&amp;"")</f>
        <v/>
      </c>
      <c r="D21" s="415" t="str">
        <f ca="1">IF($AO22="","",INDEX('Statement(edit)'!$A$5:$D$29,'statement print'!$AO22,4))</f>
        <v/>
      </c>
      <c r="E21" s="416" t="str">
        <f ca="1">IF(OR($AO22="",AO$4=""),"",INDEX('Statement(edit)'!$E$5:$AD$29,'statement print'!$AO22,AO$4)&amp;"")</f>
        <v/>
      </c>
      <c r="F21" s="416" t="str">
        <f ca="1">IF(OR($AO22="",AP$4=""),"",INDEX('Statement(edit)'!$E$5:$AD$29,'statement print'!$AO22,AP$4)&amp;"")</f>
        <v/>
      </c>
      <c r="G21" s="416" t="str">
        <f ca="1">IF(OR($AO22="",AQ$4=""),"",INDEX('Statement(edit)'!$E$5:$AD$29,'statement print'!$AO22,AQ$4)&amp;"")</f>
        <v/>
      </c>
      <c r="H21" s="416" t="str">
        <f ca="1">IF(OR($AO22="",AR$4=""),"",INDEX('Statement(edit)'!$E$5:$AD$29,'statement print'!$AO22,AR$4)&amp;"")</f>
        <v/>
      </c>
      <c r="I21" s="416" t="str">
        <f ca="1">IF(OR($AO22="",AS$4=""),"",INDEX('Statement(edit)'!$E$5:$AD$29,'statement print'!$AO22,AS$4)&amp;"")</f>
        <v/>
      </c>
      <c r="J21" s="416" t="str">
        <f ca="1">IF(OR($AO22="",AT$4=""),"",INDEX('Statement(edit)'!$E$5:$AD$29,'statement print'!$AO22,AT$4)&amp;"")</f>
        <v/>
      </c>
      <c r="K21" s="416" t="str">
        <f ca="1">IF(OR($AO22="",AU$4=""),"",INDEX('Statement(edit)'!$E$5:$AD$29,'statement print'!$AO22,AU$4)&amp;"")</f>
        <v/>
      </c>
      <c r="L21" s="416" t="str">
        <f ca="1">IF(OR($AO22="",AV$4=""),"",INDEX('Statement(edit)'!$E$5:$AD$29,'statement print'!$AO22,AV$4)&amp;"")</f>
        <v/>
      </c>
      <c r="M21" s="416" t="str">
        <f ca="1">IF(OR($AO22="",AW$4=""),"",INDEX('Statement(edit)'!$E$5:$AD$29,'statement print'!$AO22,AW$4)&amp;"")</f>
        <v/>
      </c>
      <c r="N21" s="416" t="str">
        <f ca="1">IF(B21="Sign of employee","Sign of DDO",IF(OR($AO22="",AX$4=""),"",INDEX('Statement(edit)'!$E$5:$AD$29,'statement print'!$AO22,AX$4)&amp;""))</f>
        <v/>
      </c>
      <c r="O21" s="416" t="str">
        <f ca="1">IF(OR($AO22="",AY$4=""),"",INDEX('Statement(edit)'!$E$5:$AD$29,'statement print'!$AO22,AY$4)&amp;"")</f>
        <v/>
      </c>
      <c r="P21" s="416" t="str">
        <f ca="1">IF(OR($AO22="",AZ$4=""),"",INDEX('Statement(edit)'!$E$5:$AD$29,'statement print'!$AO22,AZ$4)&amp;"")</f>
        <v/>
      </c>
      <c r="Q21" s="416" t="str">
        <f ca="1">IF(OR($AO22="",BA$4=""),"",INDEX('Statement(edit)'!$E$5:$AD$29,'statement print'!$AO22,BA$4)&amp;"")</f>
        <v/>
      </c>
      <c r="R21" s="416" t="str">
        <f ca="1">IF(OR($AO22="",BB$4=""),"",INDEX('Statement(edit)'!$E$5:$AD$29,'statement print'!$AO22,BB$4)&amp;"")</f>
        <v/>
      </c>
      <c r="S21" s="416" t="str">
        <f ca="1">IF(OR($AO22="",BC$4=""),"",INDEX('Statement(edit)'!$E$5:$AD$29,'statement print'!$AO22,BC$4)&amp;"")</f>
        <v/>
      </c>
      <c r="T21" s="416" t="str">
        <f ca="1">IF(OR($AO22="",BD$4=""),"",INDEX('Statement(edit)'!$E$5:$AD$29,'statement print'!$AO22,BD$4)&amp;"")</f>
        <v/>
      </c>
      <c r="U21" s="416" t="str">
        <f ca="1">IF(OR($AO22="",BE$4=""),"",INDEX('Statement(edit)'!$E$5:$AD$29,'statement print'!$AO22,BE$4)&amp;"")</f>
        <v/>
      </c>
      <c r="V21" s="416" t="str">
        <f ca="1">IF(OR($AO22="",BF$4=""),"",INDEX('Statement(edit)'!$E$5:$AD$29,'statement print'!$AO22,BF$4)&amp;"")</f>
        <v/>
      </c>
      <c r="W21" s="416" t="str">
        <f ca="1">IF(OR($AO22="",BG$4=""),"",INDEX('Statement(edit)'!$E$5:$AD$29,'statement print'!$AO22,BG$4)&amp;"")</f>
        <v/>
      </c>
      <c r="X21" s="416" t="str">
        <f ca="1">IF(OR($AO22="",BH$4=""),"",INDEX('Statement(edit)'!$E$5:$AD$29,'statement print'!$AO22,BH$4)&amp;"")</f>
        <v/>
      </c>
      <c r="Y21" s="416" t="str">
        <f ca="1">IF(OR($AO22="",BI$4=""),"",INDEX('Statement(edit)'!$E$5:$AD$29,'statement print'!$AO22,BI$4)&amp;"")</f>
        <v/>
      </c>
      <c r="Z21" s="416" t="str">
        <f ca="1">IF(OR($AO22="",BJ$4=""),"",INDEX('Statement(edit)'!$E$5:$AD$29,'statement print'!$AO22,BJ$4)&amp;"")</f>
        <v/>
      </c>
      <c r="AA21" s="440" t="str">
        <f t="shared" ca="1" si="0"/>
        <v/>
      </c>
      <c r="AN21" s="409" t="str">
        <f>IF(OR('Statement(edit)'!B21="",'Statement(edit)'!R21=0),"",DATA!CN20)</f>
        <v/>
      </c>
      <c r="AO21" t="str">
        <f ca="1">IFERROR(SMALL($AN$5:$AN$29,DATA!CN20),"")</f>
        <v/>
      </c>
    </row>
    <row r="22" spans="1:41" ht="27.4" customHeight="1" x14ac:dyDescent="0.25">
      <c r="A22" s="415" t="str">
        <f ca="1">IF($AO23="","",INDEX('Statement(edit)'!$A$5:$D$29,'statement print'!$AO23,1)&amp;"")</f>
        <v/>
      </c>
      <c r="B22" s="423" t="str">
        <f ca="1">IF(B20="TOTAL","Sign of employee",IF($AO23="","",INDEX('Statement(edit)'!$A$5:$D$29,'statement print'!$AO23,2)&amp;""))</f>
        <v/>
      </c>
      <c r="C22" s="786" t="str">
        <f ca="1">IF($AO23="","",INDEX('Statement(edit)'!$A$5:$D$29,'statement print'!$AO23,3)&amp;"")</f>
        <v/>
      </c>
      <c r="D22" s="415" t="str">
        <f ca="1">IF($AO23="","",INDEX('Statement(edit)'!$A$5:$D$29,'statement print'!$AO23,4))</f>
        <v/>
      </c>
      <c r="E22" s="416" t="str">
        <f ca="1">IF(OR($AO23="",AO$4=""),"",INDEX('Statement(edit)'!$E$5:$AD$29,'statement print'!$AO23,AO$4)&amp;"")</f>
        <v/>
      </c>
      <c r="F22" s="416" t="str">
        <f ca="1">IF(OR($AO23="",AP$4=""),"",INDEX('Statement(edit)'!$E$5:$AD$29,'statement print'!$AO23,AP$4)&amp;"")</f>
        <v/>
      </c>
      <c r="G22" s="416" t="str">
        <f ca="1">IF(OR($AO23="",AQ$4=""),"",INDEX('Statement(edit)'!$E$5:$AD$29,'statement print'!$AO23,AQ$4)&amp;"")</f>
        <v/>
      </c>
      <c r="H22" s="416" t="str">
        <f ca="1">IF(OR($AO23="",AR$4=""),"",INDEX('Statement(edit)'!$E$5:$AD$29,'statement print'!$AO23,AR$4)&amp;"")</f>
        <v/>
      </c>
      <c r="I22" s="416" t="str">
        <f ca="1">IF(OR($AO23="",AS$4=""),"",INDEX('Statement(edit)'!$E$5:$AD$29,'statement print'!$AO23,AS$4)&amp;"")</f>
        <v/>
      </c>
      <c r="J22" s="416" t="str">
        <f ca="1">IF(OR($AO23="",AT$4=""),"",INDEX('Statement(edit)'!$E$5:$AD$29,'statement print'!$AO23,AT$4)&amp;"")</f>
        <v/>
      </c>
      <c r="K22" s="416" t="str">
        <f ca="1">IF(OR($AO23="",AU$4=""),"",INDEX('Statement(edit)'!$E$5:$AD$29,'statement print'!$AO23,AU$4)&amp;"")</f>
        <v/>
      </c>
      <c r="L22" s="416" t="str">
        <f ca="1">IF(OR($AO23="",AV$4=""),"",INDEX('Statement(edit)'!$E$5:$AD$29,'statement print'!$AO23,AV$4)&amp;"")</f>
        <v/>
      </c>
      <c r="M22" s="416" t="str">
        <f ca="1">IF(OR($AO23="",AW$4=""),"",INDEX('Statement(edit)'!$E$5:$AD$29,'statement print'!$AO23,AW$4)&amp;"")</f>
        <v/>
      </c>
      <c r="N22" s="416" t="str">
        <f ca="1">IF(B22="Sign of employee","Sign of DDO",IF(OR($AO23="",AX$4=""),"",INDEX('Statement(edit)'!$E$5:$AD$29,'statement print'!$AO23,AX$4)&amp;""))</f>
        <v/>
      </c>
      <c r="O22" s="416" t="str">
        <f ca="1">IF(OR($AO23="",AY$4=""),"",INDEX('Statement(edit)'!$E$5:$AD$29,'statement print'!$AO23,AY$4)&amp;"")</f>
        <v/>
      </c>
      <c r="P22" s="416" t="str">
        <f ca="1">IF(OR($AO23="",AZ$4=""),"",INDEX('Statement(edit)'!$E$5:$AD$29,'statement print'!$AO23,AZ$4)&amp;"")</f>
        <v/>
      </c>
      <c r="Q22" s="416" t="str">
        <f ca="1">IF(OR($AO23="",BA$4=""),"",INDEX('Statement(edit)'!$E$5:$AD$29,'statement print'!$AO23,BA$4)&amp;"")</f>
        <v/>
      </c>
      <c r="R22" s="416" t="str">
        <f ca="1">IF(OR($AO23="",BB$4=""),"",INDEX('Statement(edit)'!$E$5:$AD$29,'statement print'!$AO23,BB$4)&amp;"")</f>
        <v/>
      </c>
      <c r="S22" s="416" t="str">
        <f ca="1">IF(OR($AO23="",BC$4=""),"",INDEX('Statement(edit)'!$E$5:$AD$29,'statement print'!$AO23,BC$4)&amp;"")</f>
        <v/>
      </c>
      <c r="T22" s="416" t="str">
        <f ca="1">IF(OR($AO23="",BD$4=""),"",INDEX('Statement(edit)'!$E$5:$AD$29,'statement print'!$AO23,BD$4)&amp;"")</f>
        <v/>
      </c>
      <c r="U22" s="416" t="str">
        <f ca="1">IF(OR($AO23="",BE$4=""),"",INDEX('Statement(edit)'!$E$5:$AD$29,'statement print'!$AO23,BE$4)&amp;"")</f>
        <v/>
      </c>
      <c r="V22" s="416" t="str">
        <f ca="1">IF(OR($AO23="",BF$4=""),"",INDEX('Statement(edit)'!$E$5:$AD$29,'statement print'!$AO23,BF$4)&amp;"")</f>
        <v/>
      </c>
      <c r="W22" s="416" t="str">
        <f ca="1">IF(OR($AO23="",BG$4=""),"",INDEX('Statement(edit)'!$E$5:$AD$29,'statement print'!$AO23,BG$4)&amp;"")</f>
        <v/>
      </c>
      <c r="X22" s="416" t="str">
        <f ca="1">IF(OR($AO23="",BH$4=""),"",INDEX('Statement(edit)'!$E$5:$AD$29,'statement print'!$AO23,BH$4)&amp;"")</f>
        <v/>
      </c>
      <c r="Y22" s="416" t="str">
        <f ca="1">IF(OR($AO23="",BI$4=""),"",INDEX('Statement(edit)'!$E$5:$AD$29,'statement print'!$AO23,BI$4)&amp;"")</f>
        <v/>
      </c>
      <c r="Z22" s="416" t="str">
        <f ca="1">IF(OR($AO23="",BJ$4=""),"",INDEX('Statement(edit)'!$E$5:$AD$29,'statement print'!$AO23,BJ$4)&amp;"")</f>
        <v/>
      </c>
      <c r="AA22" s="440" t="str">
        <f t="shared" ca="1" si="0"/>
        <v/>
      </c>
      <c r="AN22" s="409" t="str">
        <f>IF(OR('Statement(edit)'!B22="",'Statement(edit)'!R22=0),"",DATA!CN21)</f>
        <v/>
      </c>
      <c r="AO22" t="str">
        <f ca="1">IFERROR(SMALL($AN$5:$AN$29,DATA!CN21),"")</f>
        <v/>
      </c>
    </row>
    <row r="23" spans="1:41" ht="27.4" customHeight="1" x14ac:dyDescent="0.25">
      <c r="A23" s="415" t="str">
        <f ca="1">IF($AO24="","",INDEX('Statement(edit)'!$A$5:$D$29,'statement print'!$AO24,1)&amp;"")</f>
        <v/>
      </c>
      <c r="B23" s="423" t="str">
        <f ca="1">IF(B21="TOTAL","Sign of employee",IF($AO24="","",INDEX('Statement(edit)'!$A$5:$D$29,'statement print'!$AO24,2)&amp;""))</f>
        <v/>
      </c>
      <c r="C23" s="786" t="str">
        <f ca="1">IF($AO24="","",INDEX('Statement(edit)'!$A$5:$D$29,'statement print'!$AO24,3)&amp;"")</f>
        <v/>
      </c>
      <c r="D23" s="415" t="str">
        <f ca="1">IF($AO24="","",INDEX('Statement(edit)'!$A$5:$D$29,'statement print'!$AO24,4))</f>
        <v/>
      </c>
      <c r="E23" s="416" t="str">
        <f ca="1">IF(OR($AO24="",AO$4=""),"",INDEX('Statement(edit)'!$E$5:$AD$29,'statement print'!$AO24,AO$4)&amp;"")</f>
        <v/>
      </c>
      <c r="F23" s="416" t="str">
        <f ca="1">IF(OR($AO24="",AP$4=""),"",INDEX('Statement(edit)'!$E$5:$AD$29,'statement print'!$AO24,AP$4)&amp;"")</f>
        <v/>
      </c>
      <c r="G23" s="416" t="str">
        <f ca="1">IF(OR($AO24="",AQ$4=""),"",INDEX('Statement(edit)'!$E$5:$AD$29,'statement print'!$AO24,AQ$4)&amp;"")</f>
        <v/>
      </c>
      <c r="H23" s="416" t="str">
        <f ca="1">IF(OR($AO24="",AR$4=""),"",INDEX('Statement(edit)'!$E$5:$AD$29,'statement print'!$AO24,AR$4)&amp;"")</f>
        <v/>
      </c>
      <c r="I23" s="416" t="str">
        <f ca="1">IF(OR($AO24="",AS$4=""),"",INDEX('Statement(edit)'!$E$5:$AD$29,'statement print'!$AO24,AS$4)&amp;"")</f>
        <v/>
      </c>
      <c r="J23" s="416" t="str">
        <f ca="1">IF(OR($AO24="",AT$4=""),"",INDEX('Statement(edit)'!$E$5:$AD$29,'statement print'!$AO24,AT$4)&amp;"")</f>
        <v/>
      </c>
      <c r="K23" s="416" t="str">
        <f ca="1">IF(OR($AO24="",AU$4=""),"",INDEX('Statement(edit)'!$E$5:$AD$29,'statement print'!$AO24,AU$4)&amp;"")</f>
        <v/>
      </c>
      <c r="L23" s="416" t="str">
        <f ca="1">IF(OR($AO24="",AV$4=""),"",INDEX('Statement(edit)'!$E$5:$AD$29,'statement print'!$AO24,AV$4)&amp;"")</f>
        <v/>
      </c>
      <c r="M23" s="416" t="str">
        <f ca="1">IF(OR($AO24="",AW$4=""),"",INDEX('Statement(edit)'!$E$5:$AD$29,'statement print'!$AO24,AW$4)&amp;"")</f>
        <v/>
      </c>
      <c r="N23" s="416" t="str">
        <f ca="1">IF(B23="Sign of employee","Sign of DDO",IF(OR($AO24="",AX$4=""),"",INDEX('Statement(edit)'!$E$5:$AD$29,'statement print'!$AO24,AX$4)&amp;""))</f>
        <v/>
      </c>
      <c r="O23" s="416" t="str">
        <f ca="1">IF(OR($AO24="",AY$4=""),"",INDEX('Statement(edit)'!$E$5:$AD$29,'statement print'!$AO24,AY$4)&amp;"")</f>
        <v/>
      </c>
      <c r="P23" s="416" t="str">
        <f ca="1">IF(OR($AO24="",AZ$4=""),"",INDEX('Statement(edit)'!$E$5:$AD$29,'statement print'!$AO24,AZ$4)&amp;"")</f>
        <v/>
      </c>
      <c r="Q23" s="416" t="str">
        <f ca="1">IF(OR($AO24="",BA$4=""),"",INDEX('Statement(edit)'!$E$5:$AD$29,'statement print'!$AO24,BA$4)&amp;"")</f>
        <v/>
      </c>
      <c r="R23" s="416" t="str">
        <f ca="1">IF(OR($AO24="",BB$4=""),"",INDEX('Statement(edit)'!$E$5:$AD$29,'statement print'!$AO24,BB$4)&amp;"")</f>
        <v/>
      </c>
      <c r="S23" s="416" t="str">
        <f ca="1">IF(OR($AO24="",BC$4=""),"",INDEX('Statement(edit)'!$E$5:$AD$29,'statement print'!$AO24,BC$4)&amp;"")</f>
        <v/>
      </c>
      <c r="T23" s="416" t="str">
        <f ca="1">IF(OR($AO24="",BD$4=""),"",INDEX('Statement(edit)'!$E$5:$AD$29,'statement print'!$AO24,BD$4)&amp;"")</f>
        <v/>
      </c>
      <c r="U23" s="416" t="str">
        <f ca="1">IF(OR($AO24="",BE$4=""),"",INDEX('Statement(edit)'!$E$5:$AD$29,'statement print'!$AO24,BE$4)&amp;"")</f>
        <v/>
      </c>
      <c r="V23" s="416" t="str">
        <f ca="1">IF(OR($AO24="",BF$4=""),"",INDEX('Statement(edit)'!$E$5:$AD$29,'statement print'!$AO24,BF$4)&amp;"")</f>
        <v/>
      </c>
      <c r="W23" s="416" t="str">
        <f ca="1">IF(OR($AO24="",BG$4=""),"",INDEX('Statement(edit)'!$E$5:$AD$29,'statement print'!$AO24,BG$4)&amp;"")</f>
        <v/>
      </c>
      <c r="X23" s="416" t="str">
        <f ca="1">IF(OR($AO24="",BH$4=""),"",INDEX('Statement(edit)'!$E$5:$AD$29,'statement print'!$AO24,BH$4)&amp;"")</f>
        <v/>
      </c>
      <c r="Y23" s="416" t="str">
        <f ca="1">IF(OR($AO24="",BI$4=""),"",INDEX('Statement(edit)'!$E$5:$AD$29,'statement print'!$AO24,BI$4)&amp;"")</f>
        <v/>
      </c>
      <c r="Z23" s="416" t="str">
        <f ca="1">IF(OR($AO24="",BJ$4=""),"",INDEX('Statement(edit)'!$E$5:$AD$29,'statement print'!$AO24,BJ$4)&amp;"")</f>
        <v/>
      </c>
      <c r="AA23" s="440" t="str">
        <f t="shared" ca="1" si="0"/>
        <v/>
      </c>
      <c r="AN23" s="409" t="str">
        <f>IF(OR('Statement(edit)'!B23="",'Statement(edit)'!R23=0),"",DATA!CN22)</f>
        <v/>
      </c>
      <c r="AO23" t="str">
        <f ca="1">IFERROR(SMALL($AN$5:$AN$29,DATA!CN22),"")</f>
        <v/>
      </c>
    </row>
    <row r="24" spans="1:41" ht="27.4" customHeight="1" x14ac:dyDescent="0.25">
      <c r="A24" s="415" t="str">
        <f ca="1">IF($AO25="","",INDEX('Statement(edit)'!$A$5:$D$29,'statement print'!$AO25,1)&amp;"")</f>
        <v/>
      </c>
      <c r="B24" s="423" t="str">
        <f ca="1">IF(B22="TOTAL","Sign of employee",IF($AO25="","",INDEX('Statement(edit)'!$A$5:$D$29,'statement print'!$AO25,2)&amp;""))</f>
        <v/>
      </c>
      <c r="C24" s="786" t="str">
        <f ca="1">IF($AO25="","",INDEX('Statement(edit)'!$A$5:$D$29,'statement print'!$AO25,3)&amp;"")</f>
        <v/>
      </c>
      <c r="D24" s="415" t="str">
        <f ca="1">IF($AO25="","",INDEX('Statement(edit)'!$A$5:$D$29,'statement print'!$AO25,4))</f>
        <v/>
      </c>
      <c r="E24" s="416" t="str">
        <f ca="1">IF(OR($AO25="",AO$4=""),"",INDEX('Statement(edit)'!$E$5:$AD$29,'statement print'!$AO25,AO$4)&amp;"")</f>
        <v/>
      </c>
      <c r="F24" s="416" t="str">
        <f ca="1">IF(OR($AO25="",AP$4=""),"",INDEX('Statement(edit)'!$E$5:$AD$29,'statement print'!$AO25,AP$4)&amp;"")</f>
        <v/>
      </c>
      <c r="G24" s="416" t="str">
        <f ca="1">IF(OR($AO25="",AQ$4=""),"",INDEX('Statement(edit)'!$E$5:$AD$29,'statement print'!$AO25,AQ$4)&amp;"")</f>
        <v/>
      </c>
      <c r="H24" s="416" t="str">
        <f ca="1">IF(OR($AO25="",AR$4=""),"",INDEX('Statement(edit)'!$E$5:$AD$29,'statement print'!$AO25,AR$4)&amp;"")</f>
        <v/>
      </c>
      <c r="I24" s="416" t="str">
        <f ca="1">IF(OR($AO25="",AS$4=""),"",INDEX('Statement(edit)'!$E$5:$AD$29,'statement print'!$AO25,AS$4)&amp;"")</f>
        <v/>
      </c>
      <c r="J24" s="416" t="str">
        <f ca="1">IF(OR($AO25="",AT$4=""),"",INDEX('Statement(edit)'!$E$5:$AD$29,'statement print'!$AO25,AT$4)&amp;"")</f>
        <v/>
      </c>
      <c r="K24" s="416" t="str">
        <f ca="1">IF(OR($AO25="",AU$4=""),"",INDEX('Statement(edit)'!$E$5:$AD$29,'statement print'!$AO25,AU$4)&amp;"")</f>
        <v/>
      </c>
      <c r="L24" s="416" t="str">
        <f ca="1">IF(OR($AO25="",AV$4=""),"",INDEX('Statement(edit)'!$E$5:$AD$29,'statement print'!$AO25,AV$4)&amp;"")</f>
        <v/>
      </c>
      <c r="M24" s="416" t="str">
        <f ca="1">IF(OR($AO25="",AW$4=""),"",INDEX('Statement(edit)'!$E$5:$AD$29,'statement print'!$AO25,AW$4)&amp;"")</f>
        <v/>
      </c>
      <c r="N24" s="416" t="str">
        <f ca="1">IF(B24="Sign of employee","Sign of DDO",IF(OR($AO25="",AX$4=""),"",INDEX('Statement(edit)'!$E$5:$AD$29,'statement print'!$AO25,AX$4)&amp;""))</f>
        <v/>
      </c>
      <c r="O24" s="416" t="str">
        <f ca="1">IF(OR($AO25="",AY$4=""),"",INDEX('Statement(edit)'!$E$5:$AD$29,'statement print'!$AO25,AY$4)&amp;"")</f>
        <v/>
      </c>
      <c r="P24" s="416" t="str">
        <f ca="1">IF(OR($AO25="",AZ$4=""),"",INDEX('Statement(edit)'!$E$5:$AD$29,'statement print'!$AO25,AZ$4)&amp;"")</f>
        <v/>
      </c>
      <c r="Q24" s="416" t="str">
        <f ca="1">IF(OR($AO25="",BA$4=""),"",INDEX('Statement(edit)'!$E$5:$AD$29,'statement print'!$AO25,BA$4)&amp;"")</f>
        <v/>
      </c>
      <c r="R24" s="416" t="str">
        <f ca="1">IF(OR($AO25="",BB$4=""),"",INDEX('Statement(edit)'!$E$5:$AD$29,'statement print'!$AO25,BB$4)&amp;"")</f>
        <v/>
      </c>
      <c r="S24" s="416" t="str">
        <f ca="1">IF(OR($AO25="",BC$4=""),"",INDEX('Statement(edit)'!$E$5:$AD$29,'statement print'!$AO25,BC$4)&amp;"")</f>
        <v/>
      </c>
      <c r="T24" s="416" t="str">
        <f ca="1">IF(OR($AO25="",BD$4=""),"",INDEX('Statement(edit)'!$E$5:$AD$29,'statement print'!$AO25,BD$4)&amp;"")</f>
        <v/>
      </c>
      <c r="U24" s="416" t="str">
        <f ca="1">IF(OR($AO25="",BE$4=""),"",INDEX('Statement(edit)'!$E$5:$AD$29,'statement print'!$AO25,BE$4)&amp;"")</f>
        <v/>
      </c>
      <c r="V24" s="416" t="str">
        <f ca="1">IF(OR($AO25="",BF$4=""),"",INDEX('Statement(edit)'!$E$5:$AD$29,'statement print'!$AO25,BF$4)&amp;"")</f>
        <v/>
      </c>
      <c r="W24" s="416" t="str">
        <f ca="1">IF(OR($AO25="",BG$4=""),"",INDEX('Statement(edit)'!$E$5:$AD$29,'statement print'!$AO25,BG$4)&amp;"")</f>
        <v/>
      </c>
      <c r="X24" s="416" t="str">
        <f ca="1">IF(OR($AO25="",BH$4=""),"",INDEX('Statement(edit)'!$E$5:$AD$29,'statement print'!$AO25,BH$4)&amp;"")</f>
        <v/>
      </c>
      <c r="Y24" s="416" t="str">
        <f ca="1">IF(OR($AO25="",BI$4=""),"",INDEX('Statement(edit)'!$E$5:$AD$29,'statement print'!$AO25,BI$4)&amp;"")</f>
        <v/>
      </c>
      <c r="Z24" s="416" t="str">
        <f ca="1">IF(OR($AO25="",BJ$4=""),"",INDEX('Statement(edit)'!$E$5:$AD$29,'statement print'!$AO25,BJ$4)&amp;"")</f>
        <v/>
      </c>
      <c r="AA24" s="440" t="str">
        <f t="shared" ca="1" si="0"/>
        <v/>
      </c>
      <c r="AN24" s="409" t="str">
        <f>IF(OR('Statement(edit)'!B24="",'Statement(edit)'!R24=0),"",DATA!CN23)</f>
        <v/>
      </c>
      <c r="AO24" t="str">
        <f ca="1">IFERROR(SMALL($AN$5:$AN$29,DATA!CN23),"")</f>
        <v/>
      </c>
    </row>
    <row r="25" spans="1:41" ht="27.4" customHeight="1" x14ac:dyDescent="0.25">
      <c r="A25" s="415" t="str">
        <f ca="1">IF($AO26="","",INDEX('Statement(edit)'!$A$5:$D$29,'statement print'!$AO26,1)&amp;"")</f>
        <v/>
      </c>
      <c r="B25" s="423" t="str">
        <f ca="1">IF(B23="TOTAL","Sign of employee",IF($AO26="","",INDEX('Statement(edit)'!$A$5:$D$29,'statement print'!$AO26,2)&amp;""))</f>
        <v/>
      </c>
      <c r="C25" s="786" t="str">
        <f ca="1">IF($AO26="","",INDEX('Statement(edit)'!$A$5:$D$29,'statement print'!$AO26,3)&amp;"")</f>
        <v/>
      </c>
      <c r="D25" s="415" t="str">
        <f ca="1">IF($AO26="","",INDEX('Statement(edit)'!$A$5:$D$29,'statement print'!$AO26,4))</f>
        <v/>
      </c>
      <c r="E25" s="416" t="str">
        <f ca="1">IF(OR($AO26="",AO$4=""),"",INDEX('Statement(edit)'!$E$5:$AD$29,'statement print'!$AO26,AO$4)&amp;"")</f>
        <v/>
      </c>
      <c r="F25" s="416" t="str">
        <f ca="1">IF(OR($AO26="",AP$4=""),"",INDEX('Statement(edit)'!$E$5:$AD$29,'statement print'!$AO26,AP$4)&amp;"")</f>
        <v/>
      </c>
      <c r="G25" s="416" t="str">
        <f ca="1">IF(OR($AO26="",AQ$4=""),"",INDEX('Statement(edit)'!$E$5:$AD$29,'statement print'!$AO26,AQ$4)&amp;"")</f>
        <v/>
      </c>
      <c r="H25" s="416" t="str">
        <f ca="1">IF(OR($AO26="",AR$4=""),"",INDEX('Statement(edit)'!$E$5:$AD$29,'statement print'!$AO26,AR$4)&amp;"")</f>
        <v/>
      </c>
      <c r="I25" s="416" t="str">
        <f ca="1">IF(OR($AO26="",AS$4=""),"",INDEX('Statement(edit)'!$E$5:$AD$29,'statement print'!$AO26,AS$4)&amp;"")</f>
        <v/>
      </c>
      <c r="J25" s="416" t="str">
        <f ca="1">IF(OR($AO26="",AT$4=""),"",INDEX('Statement(edit)'!$E$5:$AD$29,'statement print'!$AO26,AT$4)&amp;"")</f>
        <v/>
      </c>
      <c r="K25" s="416" t="str">
        <f ca="1">IF(OR($AO26="",AU$4=""),"",INDEX('Statement(edit)'!$E$5:$AD$29,'statement print'!$AO26,AU$4)&amp;"")</f>
        <v/>
      </c>
      <c r="L25" s="416" t="str">
        <f ca="1">IF(OR($AO26="",AV$4=""),"",INDEX('Statement(edit)'!$E$5:$AD$29,'statement print'!$AO26,AV$4)&amp;"")</f>
        <v/>
      </c>
      <c r="M25" s="416" t="str">
        <f ca="1">IF(OR($AO26="",AW$4=""),"",INDEX('Statement(edit)'!$E$5:$AD$29,'statement print'!$AO26,AW$4)&amp;"")</f>
        <v/>
      </c>
      <c r="N25" s="416" t="str">
        <f ca="1">IF(B25="Sign of employee","Sign of DDO",IF(OR($AO26="",AX$4=""),"",INDEX('Statement(edit)'!$E$5:$AD$29,'statement print'!$AO26,AX$4)&amp;""))</f>
        <v/>
      </c>
      <c r="O25" s="416" t="str">
        <f ca="1">IF(OR($AO26="",AY$4=""),"",INDEX('Statement(edit)'!$E$5:$AD$29,'statement print'!$AO26,AY$4)&amp;"")</f>
        <v/>
      </c>
      <c r="P25" s="416" t="str">
        <f ca="1">IF(OR($AO26="",AZ$4=""),"",INDEX('Statement(edit)'!$E$5:$AD$29,'statement print'!$AO26,AZ$4)&amp;"")</f>
        <v/>
      </c>
      <c r="Q25" s="416" t="str">
        <f ca="1">IF(OR($AO26="",BA$4=""),"",INDEX('Statement(edit)'!$E$5:$AD$29,'statement print'!$AO26,BA$4)&amp;"")</f>
        <v/>
      </c>
      <c r="R25" s="416" t="str">
        <f ca="1">IF(OR($AO26="",BB$4=""),"",INDEX('Statement(edit)'!$E$5:$AD$29,'statement print'!$AO26,BB$4)&amp;"")</f>
        <v/>
      </c>
      <c r="S25" s="416" t="str">
        <f ca="1">IF(OR($AO26="",BC$4=""),"",INDEX('Statement(edit)'!$E$5:$AD$29,'statement print'!$AO26,BC$4)&amp;"")</f>
        <v/>
      </c>
      <c r="T25" s="416" t="str">
        <f ca="1">IF(OR($AO26="",BD$4=""),"",INDEX('Statement(edit)'!$E$5:$AD$29,'statement print'!$AO26,BD$4)&amp;"")</f>
        <v/>
      </c>
      <c r="U25" s="416" t="str">
        <f ca="1">IF(OR($AO26="",BE$4=""),"",INDEX('Statement(edit)'!$E$5:$AD$29,'statement print'!$AO26,BE$4)&amp;"")</f>
        <v/>
      </c>
      <c r="V25" s="416" t="str">
        <f ca="1">IF(OR($AO26="",BF$4=""),"",INDEX('Statement(edit)'!$E$5:$AD$29,'statement print'!$AO26,BF$4)&amp;"")</f>
        <v/>
      </c>
      <c r="W25" s="416" t="str">
        <f ca="1">IF(OR($AO26="",BG$4=""),"",INDEX('Statement(edit)'!$E$5:$AD$29,'statement print'!$AO26,BG$4)&amp;"")</f>
        <v/>
      </c>
      <c r="X25" s="416" t="str">
        <f ca="1">IF(OR($AO26="",BH$4=""),"",INDEX('Statement(edit)'!$E$5:$AD$29,'statement print'!$AO26,BH$4)&amp;"")</f>
        <v/>
      </c>
      <c r="Y25" s="416" t="str">
        <f ca="1">IF(OR($AO26="",BI$4=""),"",INDEX('Statement(edit)'!$E$5:$AD$29,'statement print'!$AO26,BI$4)&amp;"")</f>
        <v/>
      </c>
      <c r="Z25" s="416" t="str">
        <f ca="1">IF(OR($AO26="",BJ$4=""),"",INDEX('Statement(edit)'!$E$5:$AD$29,'statement print'!$AO26,BJ$4)&amp;"")</f>
        <v/>
      </c>
      <c r="AA25" s="440" t="str">
        <f t="shared" ca="1" si="0"/>
        <v/>
      </c>
      <c r="AN25" s="409" t="str">
        <f>IF(OR('Statement(edit)'!B25="",'Statement(edit)'!R25=0),"",DATA!CN24)</f>
        <v/>
      </c>
      <c r="AO25" t="str">
        <f ca="1">IFERROR(SMALL($AN$5:$AN$29,DATA!CN24),"")</f>
        <v/>
      </c>
    </row>
    <row r="26" spans="1:41" ht="27.4" customHeight="1" x14ac:dyDescent="0.25">
      <c r="A26" s="415" t="str">
        <f ca="1">IF($AO27="","",INDEX('Statement(edit)'!$A$5:$D$29,'statement print'!$AO27,1)&amp;"")</f>
        <v/>
      </c>
      <c r="B26" s="423" t="str">
        <f ca="1">IF(B24="TOTAL","Sign of employee",IF($AO27="","",INDEX('Statement(edit)'!$A$5:$D$29,'statement print'!$AO27,2)&amp;""))</f>
        <v/>
      </c>
      <c r="C26" s="786" t="str">
        <f ca="1">IF($AO27="","",INDEX('Statement(edit)'!$A$5:$D$29,'statement print'!$AO27,3)&amp;"")</f>
        <v/>
      </c>
      <c r="D26" s="415" t="str">
        <f ca="1">IF($AO27="","",INDEX('Statement(edit)'!$A$5:$D$29,'statement print'!$AO27,4))</f>
        <v/>
      </c>
      <c r="E26" s="416" t="str">
        <f ca="1">IF(OR($AO27="",AO$4=""),"",INDEX('Statement(edit)'!$E$5:$AD$29,'statement print'!$AO27,AO$4)&amp;"")</f>
        <v/>
      </c>
      <c r="F26" s="416" t="str">
        <f ca="1">IF(OR($AO27="",AP$4=""),"",INDEX('Statement(edit)'!$E$5:$AD$29,'statement print'!$AO27,AP$4)&amp;"")</f>
        <v/>
      </c>
      <c r="G26" s="416" t="str">
        <f ca="1">IF(OR($AO27="",AQ$4=""),"",INDEX('Statement(edit)'!$E$5:$AD$29,'statement print'!$AO27,AQ$4)&amp;"")</f>
        <v/>
      </c>
      <c r="H26" s="416" t="str">
        <f ca="1">IF(OR($AO27="",AR$4=""),"",INDEX('Statement(edit)'!$E$5:$AD$29,'statement print'!$AO27,AR$4)&amp;"")</f>
        <v/>
      </c>
      <c r="I26" s="416" t="str">
        <f ca="1">IF(OR($AO27="",AS$4=""),"",INDEX('Statement(edit)'!$E$5:$AD$29,'statement print'!$AO27,AS$4)&amp;"")</f>
        <v/>
      </c>
      <c r="J26" s="416" t="str">
        <f ca="1">IF(OR($AO27="",AT$4=""),"",INDEX('Statement(edit)'!$E$5:$AD$29,'statement print'!$AO27,AT$4)&amp;"")</f>
        <v/>
      </c>
      <c r="K26" s="416" t="str">
        <f ca="1">IF(OR($AO27="",AU$4=""),"",INDEX('Statement(edit)'!$E$5:$AD$29,'statement print'!$AO27,AU$4)&amp;"")</f>
        <v/>
      </c>
      <c r="L26" s="416" t="str">
        <f ca="1">IF(OR($AO27="",AV$4=""),"",INDEX('Statement(edit)'!$E$5:$AD$29,'statement print'!$AO27,AV$4)&amp;"")</f>
        <v/>
      </c>
      <c r="M26" s="416" t="str">
        <f ca="1">IF(OR($AO27="",AW$4=""),"",INDEX('Statement(edit)'!$E$5:$AD$29,'statement print'!$AO27,AW$4)&amp;"")</f>
        <v/>
      </c>
      <c r="N26" s="416" t="str">
        <f ca="1">IF(B26="Sign of employee","Sign of DDO",IF(OR($AO27="",AX$4=""),"",INDEX('Statement(edit)'!$E$5:$AD$29,'statement print'!$AO27,AX$4)&amp;""))</f>
        <v/>
      </c>
      <c r="O26" s="416" t="str">
        <f ca="1">IF(OR($AO27="",AY$4=""),"",INDEX('Statement(edit)'!$E$5:$AD$29,'statement print'!$AO27,AY$4)&amp;"")</f>
        <v/>
      </c>
      <c r="P26" s="416" t="str">
        <f ca="1">IF(OR($AO27="",AZ$4=""),"",INDEX('Statement(edit)'!$E$5:$AD$29,'statement print'!$AO27,AZ$4)&amp;"")</f>
        <v/>
      </c>
      <c r="Q26" s="416" t="str">
        <f ca="1">IF(OR($AO27="",BA$4=""),"",INDEX('Statement(edit)'!$E$5:$AD$29,'statement print'!$AO27,BA$4)&amp;"")</f>
        <v/>
      </c>
      <c r="R26" s="416" t="str">
        <f ca="1">IF(OR($AO27="",BB$4=""),"",INDEX('Statement(edit)'!$E$5:$AD$29,'statement print'!$AO27,BB$4)&amp;"")</f>
        <v/>
      </c>
      <c r="S26" s="416" t="str">
        <f ca="1">IF(OR($AO27="",BC$4=""),"",INDEX('Statement(edit)'!$E$5:$AD$29,'statement print'!$AO27,BC$4)&amp;"")</f>
        <v/>
      </c>
      <c r="T26" s="416" t="str">
        <f ca="1">IF(OR($AO27="",BD$4=""),"",INDEX('Statement(edit)'!$E$5:$AD$29,'statement print'!$AO27,BD$4)&amp;"")</f>
        <v/>
      </c>
      <c r="U26" s="416" t="str">
        <f ca="1">IF(OR($AO27="",BE$4=""),"",INDEX('Statement(edit)'!$E$5:$AD$29,'statement print'!$AO27,BE$4)&amp;"")</f>
        <v/>
      </c>
      <c r="V26" s="416" t="str">
        <f ca="1">IF(OR($AO27="",BF$4=""),"",INDEX('Statement(edit)'!$E$5:$AD$29,'statement print'!$AO27,BF$4)&amp;"")</f>
        <v/>
      </c>
      <c r="W26" s="416" t="str">
        <f ca="1">IF(OR($AO27="",BG$4=""),"",INDEX('Statement(edit)'!$E$5:$AD$29,'statement print'!$AO27,BG$4)&amp;"")</f>
        <v/>
      </c>
      <c r="X26" s="416" t="str">
        <f ca="1">IF(OR($AO27="",BH$4=""),"",INDEX('Statement(edit)'!$E$5:$AD$29,'statement print'!$AO27,BH$4)&amp;"")</f>
        <v/>
      </c>
      <c r="Y26" s="416" t="str">
        <f ca="1">IF(OR($AO27="",BI$4=""),"",INDEX('Statement(edit)'!$E$5:$AD$29,'statement print'!$AO27,BI$4)&amp;"")</f>
        <v/>
      </c>
      <c r="Z26" s="416" t="str">
        <f ca="1">IF(OR($AO27="",BJ$4=""),"",INDEX('Statement(edit)'!$E$5:$AD$29,'statement print'!$AO27,BJ$4)&amp;"")</f>
        <v/>
      </c>
      <c r="AA26" s="440" t="str">
        <f t="shared" ca="1" si="0"/>
        <v/>
      </c>
      <c r="AN26" s="409" t="str">
        <f>IF(OR('Statement(edit)'!B26="",'Statement(edit)'!R26=0),"",DATA!CN25)</f>
        <v/>
      </c>
      <c r="AO26" t="str">
        <f ca="1">IFERROR(SMALL($AN$5:$AN$29,DATA!CN25),"")</f>
        <v/>
      </c>
    </row>
    <row r="27" spans="1:41" x14ac:dyDescent="0.25">
      <c r="AA27" s="459">
        <v>1</v>
      </c>
      <c r="AN27" s="409" t="str">
        <f>IF(OR('Statement(edit)'!B27="",'Statement(edit)'!R27=0),"",DATA!CN26)</f>
        <v/>
      </c>
      <c r="AO27" t="str">
        <f ca="1">IFERROR(SMALL($AN$5:$AN$29,DATA!CN26),"")</f>
        <v/>
      </c>
    </row>
    <row r="28" spans="1:41" ht="19.149999999999999" customHeight="1" x14ac:dyDescent="0.25">
      <c r="AA28" s="459">
        <v>1</v>
      </c>
      <c r="AN28" s="409" t="str">
        <f>IF(OR('Statement(edit)'!B28="",'Statement(edit)'!R28=0),"",DATA!CN27)</f>
        <v/>
      </c>
    </row>
    <row r="29" spans="1:41" ht="18" customHeight="1" x14ac:dyDescent="0.25">
      <c r="AA29" s="459">
        <v>1</v>
      </c>
      <c r="AN29" s="409">
        <f ca="1">IF(OR('Statement(edit)'!B29="",'Statement(edit)'!R29=0),"",DATA!CN28)</f>
        <v>25</v>
      </c>
    </row>
  </sheetData>
  <sheetProtection algorithmName="SHA-512" hashValue="oaNuYcm3aWBQcbslQRFabT/4h/0H8NMX+mKw87PmyNt9b2gOgOQ5anjqR+LXbdmXbmCGLzBV4nEbIvQMGp4WQA==" saltValue="uuObchXfIMcfRyiJTJdnzg==" spinCount="100000" sheet="1" objects="1" scenarios="1" formatCells="0" formatColumns="0" formatRows="0" autoFilter="0"/>
  <autoFilter ref="AA3:AA29" xr:uid="{9BEDBECE-B88A-4E67-B62D-86023D5DB213}"/>
  <conditionalFormatting sqref="A3:Z26">
    <cfRule type="expression" dxfId="12" priority="2">
      <formula>AND(NOT($B3=""),NOT(A$3=""))</formula>
    </cfRule>
  </conditionalFormatting>
  <conditionalFormatting sqref="A4:Z26">
    <cfRule type="expression" dxfId="11" priority="1">
      <formula>$B4="Sign of employee"</formula>
    </cfRule>
  </conditionalFormatting>
  <printOptions horizontalCentered="1"/>
  <pageMargins left="0.25" right="0.25" top="0.56000000000000005" bottom="0.35" header="0.3" footer="0.3"/>
  <pageSetup paperSize="9" orientation="landscape" r:id="rId1"/>
  <ignoredErrors>
    <ignoredError sqref="N4:N5" formula="1"/>
  </ignoredErrors>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31B9ADA9-0BDE-4465-BB32-AF993363827B}">
  <sheetPr codeName="Sheet5">
    <tabColor rgb="FF92D050"/>
  </sheetPr>
  <dimension ref="A1:XEY165"/>
  <sheetViews>
    <sheetView showGridLines="0" zoomScaleNormal="100" workbookViewId="0">
      <selection activeCell="C31" sqref="C31"/>
    </sheetView>
  </sheetViews>
  <sheetFormatPr defaultColWidth="7" defaultRowHeight="15" x14ac:dyDescent="0.25"/>
  <cols>
    <col min="1" max="1" width="4" customWidth="1"/>
    <col min="2" max="2" width="3.28515625" customWidth="1"/>
    <col min="3" max="3" width="10.28515625" customWidth="1"/>
    <col min="4" max="5" width="12.28515625" customWidth="1"/>
    <col min="6" max="6" width="14.140625" customWidth="1"/>
    <col min="7" max="7" width="10.85546875" customWidth="1"/>
    <col min="8" max="8" width="10.42578125" customWidth="1"/>
    <col min="9" max="9" width="13.7109375" customWidth="1"/>
    <col min="10" max="10" width="13" customWidth="1"/>
    <col min="11" max="11" width="12.7109375" customWidth="1"/>
    <col min="12" max="12" width="2.28515625" customWidth="1"/>
    <col min="13" max="13" width="13.85546875" customWidth="1"/>
    <col min="14" max="14" width="15.28515625" customWidth="1"/>
    <col min="15" max="15" width="9.5703125" customWidth="1"/>
    <col min="16" max="16" width="12.28515625" customWidth="1"/>
    <col min="17" max="26" width="10.5703125" customWidth="1"/>
    <col min="27" max="27" width="9.28515625" customWidth="1"/>
    <col min="28" max="29" width="12.42578125" customWidth="1"/>
    <col min="30" max="30" width="12.42578125" hidden="1" customWidth="1"/>
    <col min="31" max="31" width="6" hidden="1" customWidth="1"/>
    <col min="32" max="32" width="7" hidden="1" customWidth="1"/>
    <col min="33" max="33" width="9.42578125" style="315" hidden="1" customWidth="1"/>
    <col min="34" max="34" width="17.7109375" hidden="1" customWidth="1"/>
    <col min="35" max="35" width="13.28515625" hidden="1" customWidth="1"/>
    <col min="36" max="36" width="16.28515625" hidden="1" customWidth="1"/>
    <col min="37" max="37" width="9.7109375" hidden="1" customWidth="1"/>
    <col min="38" max="38" width="25.85546875" hidden="1" customWidth="1"/>
    <col min="39" max="45" width="7" hidden="1" customWidth="1"/>
    <col min="46" max="46" width="12.5703125" hidden="1" customWidth="1"/>
    <col min="47" max="47" width="7" hidden="1" customWidth="1"/>
    <col min="48" max="48" width="9.7109375" hidden="1" customWidth="1"/>
    <col min="49" max="49" width="16.140625" hidden="1" customWidth="1"/>
    <col min="50" max="16379" width="7" hidden="1" customWidth="1"/>
    <col min="16380" max="16380" width="7" customWidth="1"/>
  </cols>
  <sheetData>
    <row r="1" spans="1:56" ht="17.25" customHeight="1" x14ac:dyDescent="0.25">
      <c r="L1" s="33"/>
    </row>
    <row r="2" spans="1:56" ht="15" customHeight="1" x14ac:dyDescent="0.25">
      <c r="A2" s="1276" t="s">
        <v>165</v>
      </c>
      <c r="B2" s="1276"/>
      <c r="C2" s="1276"/>
      <c r="D2" s="1274" t="s">
        <v>166</v>
      </c>
      <c r="E2" s="1274"/>
      <c r="F2" s="1274"/>
      <c r="G2" s="1274"/>
      <c r="H2" s="1274"/>
      <c r="I2" s="1274"/>
      <c r="J2" s="1278" t="s">
        <v>167</v>
      </c>
      <c r="K2" s="1278"/>
      <c r="L2" s="555"/>
      <c r="W2" s="898"/>
    </row>
    <row r="3" spans="1:56" ht="15.6" customHeight="1" x14ac:dyDescent="0.25">
      <c r="A3" s="1277" t="str">
        <f>'Form 16 -P1'!O13</f>
        <v>2025-2026</v>
      </c>
      <c r="B3" s="1277"/>
      <c r="C3" s="1277"/>
      <c r="D3" s="1275" t="str">
        <f ca="1">"INCOME TAX CALCULATION IN --"&amp;UPPER(AH37)</f>
        <v>INCOME TAX CALCULATION IN --NEW REGIME</v>
      </c>
      <c r="E3" s="1275"/>
      <c r="F3" s="1275"/>
      <c r="G3" s="1275"/>
      <c r="H3" s="1275"/>
      <c r="I3" s="1275"/>
      <c r="J3" s="1279" t="str">
        <f>'Form 16 -P1'!P13</f>
        <v>2026-2027</v>
      </c>
      <c r="K3" s="1279"/>
      <c r="L3" s="556"/>
      <c r="W3" s="899"/>
    </row>
    <row r="4" spans="1:56" ht="18.600000000000001" customHeight="1" x14ac:dyDescent="0.3">
      <c r="A4" s="1271" t="s">
        <v>702</v>
      </c>
      <c r="B4" s="1272"/>
      <c r="C4" s="1273"/>
      <c r="D4" s="1280" t="str">
        <f>DATA!E5&amp;""</f>
        <v>xyz</v>
      </c>
      <c r="E4" s="1280"/>
      <c r="F4" s="847" t="s">
        <v>1082</v>
      </c>
      <c r="G4" s="1281" t="str">
        <f>DATA!E8&amp;""</f>
        <v>XXX</v>
      </c>
      <c r="H4" s="1282"/>
      <c r="I4" s="849" t="s">
        <v>2</v>
      </c>
      <c r="J4" s="1267" t="str">
        <f>DATA!E15&amp;""</f>
        <v/>
      </c>
      <c r="K4" s="1267"/>
      <c r="L4" s="557"/>
      <c r="W4" s="900"/>
    </row>
    <row r="5" spans="1:56" ht="16.149999999999999" customHeight="1" thickBot="1" x14ac:dyDescent="0.3">
      <c r="A5" s="1268" t="s">
        <v>168</v>
      </c>
      <c r="B5" s="1269"/>
      <c r="C5" s="1270"/>
      <c r="D5" s="1267" t="str">
        <f>DATA!E6&amp;""</f>
        <v>SA Maths</v>
      </c>
      <c r="E5" s="1267"/>
      <c r="F5" s="848" t="s">
        <v>169</v>
      </c>
      <c r="G5" s="1283" t="str">
        <f>DATA!E9&amp;""</f>
        <v>XXX</v>
      </c>
      <c r="H5" s="1284"/>
      <c r="I5" s="850" t="s">
        <v>654</v>
      </c>
      <c r="J5" s="1266" t="str">
        <f>DATA!E7&amp;""</f>
        <v>ZPHS Marepally</v>
      </c>
      <c r="K5" s="1266"/>
      <c r="L5" s="558"/>
      <c r="M5" s="1255" t="s">
        <v>735</v>
      </c>
      <c r="N5" s="1255"/>
      <c r="O5" s="154"/>
      <c r="P5" s="154"/>
      <c r="Q5" s="154"/>
      <c r="R5" s="154"/>
      <c r="S5" s="154"/>
      <c r="T5" s="154"/>
      <c r="U5" s="154"/>
      <c r="W5" s="901"/>
      <c r="AG5" s="415"/>
      <c r="AH5" s="154"/>
      <c r="AI5" s="154"/>
      <c r="AJ5" s="154"/>
      <c r="AK5" s="154"/>
      <c r="AL5" s="154"/>
      <c r="AM5" s="154"/>
      <c r="AN5" s="154"/>
      <c r="AO5" s="154"/>
      <c r="AP5" s="154"/>
      <c r="AQ5" s="154"/>
      <c r="AR5" s="254" t="s">
        <v>469</v>
      </c>
      <c r="AS5" s="154"/>
      <c r="AT5" s="154"/>
      <c r="AU5" s="154"/>
      <c r="AV5" s="154" t="s">
        <v>470</v>
      </c>
      <c r="AW5" s="154"/>
      <c r="AX5" s="154"/>
      <c r="AY5" s="154"/>
      <c r="AZ5" s="154"/>
      <c r="BA5" s="154"/>
    </row>
    <row r="6" spans="1:56" ht="3" customHeight="1" x14ac:dyDescent="0.25">
      <c r="A6" s="922"/>
      <c r="B6" s="33"/>
      <c r="C6" s="33"/>
      <c r="D6" s="33"/>
      <c r="E6" s="33"/>
      <c r="F6" s="33"/>
      <c r="G6" s="33"/>
      <c r="H6" s="33"/>
      <c r="I6" s="33"/>
      <c r="J6" s="33"/>
      <c r="K6" s="923"/>
      <c r="L6" s="559"/>
      <c r="Q6" s="154"/>
      <c r="R6" s="154"/>
      <c r="S6" s="154"/>
      <c r="T6" s="154"/>
      <c r="U6" s="154"/>
      <c r="W6" s="902"/>
      <c r="AG6" s="415"/>
      <c r="AH6" s="154"/>
      <c r="AI6" s="154"/>
      <c r="AJ6" s="154"/>
      <c r="AK6" s="154"/>
      <c r="AL6" s="154"/>
      <c r="AM6" s="154"/>
      <c r="AN6" s="154"/>
      <c r="AO6" s="154"/>
      <c r="AP6" s="154"/>
      <c r="AQ6" s="154"/>
      <c r="AR6" s="245"/>
      <c r="AS6" s="240"/>
      <c r="AT6" s="34">
        <f ca="1">'Statement(edit)'!R29++Sections!H39</f>
        <v>1417818</v>
      </c>
      <c r="AU6" s="154"/>
      <c r="AV6" s="256">
        <f ca="1">AT6</f>
        <v>1417818</v>
      </c>
      <c r="AW6" s="154"/>
      <c r="AX6" s="154"/>
      <c r="AY6" s="154"/>
      <c r="AZ6" s="154"/>
      <c r="BA6" s="154"/>
    </row>
    <row r="7" spans="1:56" ht="15.6" customHeight="1" x14ac:dyDescent="0.25">
      <c r="A7" s="861">
        <v>1</v>
      </c>
      <c r="B7" s="839" t="s">
        <v>1095</v>
      </c>
      <c r="C7" s="831"/>
      <c r="D7" s="1228" t="str">
        <f ca="1">IF(NOT(Sections!E37=1),"","(CPS Employer Contribution(80CCD2) Rs."&amp;Sections!H39&amp;"+ Gross salary-"&amp;'Statement(edit)'!R29&amp;"=Rs."&amp;K7&amp;")")</f>
        <v>(CPS Employer Contribution(80CCD2) Rs.120776+ Gross salary-1297042=Rs.1417818)</v>
      </c>
      <c r="E7" s="1228"/>
      <c r="F7" s="1228"/>
      <c r="G7" s="1228"/>
      <c r="H7" s="1228"/>
      <c r="I7" s="1228"/>
      <c r="J7" s="1228"/>
      <c r="K7" s="830">
        <f ca="1">'Statement(edit)'!R29+Sections!H39</f>
        <v>1417818</v>
      </c>
      <c r="L7" s="560"/>
      <c r="M7" s="255" t="s">
        <v>67</v>
      </c>
      <c r="N7" s="271">
        <f ca="1">IFERROR(AZ17,0)</f>
        <v>89332</v>
      </c>
      <c r="O7" s="154"/>
      <c r="P7" s="154"/>
      <c r="Q7" s="154"/>
      <c r="R7" s="154"/>
      <c r="S7" s="154"/>
      <c r="T7" s="154"/>
      <c r="U7" s="154"/>
      <c r="W7" s="903"/>
      <c r="AG7" s="415"/>
      <c r="AH7" s="154"/>
      <c r="AI7" s="154"/>
      <c r="AJ7" s="154"/>
      <c r="AK7" s="154"/>
      <c r="AL7" s="154"/>
      <c r="AM7" s="154"/>
      <c r="AN7" s="154"/>
      <c r="AO7" s="154"/>
      <c r="AP7" s="154"/>
      <c r="AQ7" s="154"/>
      <c r="AR7" s="257"/>
      <c r="AS7" s="258"/>
      <c r="AT7" s="1239"/>
      <c r="AU7" s="154"/>
      <c r="AV7" s="255"/>
      <c r="AW7" s="158" t="str">
        <f>IF(AV7="","",SUM($AV$6:AV7))</f>
        <v/>
      </c>
      <c r="AX7" s="154"/>
      <c r="AY7" s="154"/>
      <c r="AZ7" s="154"/>
      <c r="BA7" s="154"/>
    </row>
    <row r="8" spans="1:56" ht="13.9" customHeight="1" x14ac:dyDescent="0.25">
      <c r="A8" s="1232">
        <v>2</v>
      </c>
      <c r="B8" s="961" t="s">
        <v>1094</v>
      </c>
      <c r="C8" s="962"/>
      <c r="D8" s="962"/>
      <c r="E8" s="962"/>
      <c r="F8" s="962"/>
      <c r="G8" s="962"/>
      <c r="H8" s="962"/>
      <c r="I8" s="962"/>
      <c r="J8" s="836">
        <f ca="1">IF($AH$38=2,AV12,AS14)</f>
        <v>0</v>
      </c>
      <c r="K8" s="917">
        <f ca="1">K7+J8</f>
        <v>1417818</v>
      </c>
      <c r="L8" s="560"/>
      <c r="M8" s="255" t="s">
        <v>294</v>
      </c>
      <c r="N8" s="255">
        <f ca="1">'Statement(edit)'!D29+'Statement(edit)'!I29</f>
        <v>893320</v>
      </c>
      <c r="O8" s="154"/>
      <c r="P8" s="154"/>
      <c r="Q8" s="154"/>
      <c r="R8" s="154"/>
      <c r="S8" s="154"/>
      <c r="T8" s="154"/>
      <c r="U8" s="154"/>
      <c r="W8" s="903"/>
      <c r="AG8" s="415"/>
      <c r="AH8" s="154"/>
      <c r="AI8" s="154"/>
      <c r="AJ8" s="154"/>
      <c r="AK8" s="154"/>
      <c r="AL8" s="154"/>
      <c r="AM8" s="154"/>
      <c r="AN8" s="154"/>
      <c r="AO8" s="154"/>
      <c r="AP8" s="154"/>
      <c r="AQ8" s="154"/>
      <c r="AR8" s="257"/>
      <c r="AS8" s="241">
        <f ca="1">MIN(AR9:AR11)</f>
        <v>0</v>
      </c>
      <c r="AT8" s="1239"/>
      <c r="AU8" s="154"/>
      <c r="AV8" s="255"/>
      <c r="AW8" s="158" t="str">
        <f>IF(AV8="","",SUM($AV$6:AV8))</f>
        <v/>
      </c>
      <c r="AX8" s="154"/>
      <c r="AY8" s="154"/>
    </row>
    <row r="9" spans="1:56" ht="13.9" customHeight="1" thickBot="1" x14ac:dyDescent="0.3">
      <c r="A9" s="1232"/>
      <c r="B9" s="1225" t="s">
        <v>1074</v>
      </c>
      <c r="C9" s="963" t="str">
        <f ca="1">"Sec 10(13A)-Allowance to meet expenditure incurred on house rent"&amp;IF(AZ17=0,"","(living in-"&amp;IF(AH39="Rent","Rented House)",""))</f>
        <v>Sec 10(13A)-Allowance to meet expenditure incurred on house rent(living in-Rented House)</v>
      </c>
      <c r="D9" s="964"/>
      <c r="E9" s="964"/>
      <c r="F9" s="964"/>
      <c r="G9" s="964"/>
      <c r="H9" s="964"/>
      <c r="I9" s="964"/>
      <c r="J9" s="920"/>
      <c r="K9" s="1229"/>
      <c r="L9" s="560"/>
      <c r="M9" s="255" t="s">
        <v>99</v>
      </c>
      <c r="N9" s="255">
        <f ca="1">'Statement(edit)'!E29</f>
        <v>314390</v>
      </c>
      <c r="O9" s="154"/>
      <c r="P9" s="154"/>
      <c r="Q9" s="154"/>
      <c r="R9" s="154"/>
      <c r="S9" s="154"/>
      <c r="T9" s="154"/>
      <c r="U9" s="154"/>
      <c r="W9" s="903"/>
      <c r="AG9" s="415"/>
      <c r="AH9" s="154"/>
      <c r="AI9" s="154"/>
      <c r="AJ9" s="154"/>
      <c r="AK9" s="154"/>
      <c r="AL9" s="154"/>
      <c r="AM9" s="154"/>
      <c r="AN9" s="154"/>
      <c r="AO9" s="154"/>
      <c r="AP9" s="154"/>
      <c r="AQ9" s="154"/>
      <c r="AR9" s="37">
        <f ca="1">N7</f>
        <v>89332</v>
      </c>
      <c r="AS9" s="1240"/>
      <c r="AT9" s="1239"/>
      <c r="AU9" s="154"/>
      <c r="AV9" s="255"/>
      <c r="AW9" s="158" t="str">
        <f>IF(AV9="","",SUM($AV$6:AV9))</f>
        <v/>
      </c>
      <c r="AX9" s="154"/>
      <c r="AY9" s="154"/>
    </row>
    <row r="10" spans="1:56" s="818" customFormat="1" ht="13.9" customHeight="1" x14ac:dyDescent="0.25">
      <c r="A10" s="1232"/>
      <c r="B10" s="1226"/>
      <c r="C10" s="965" t="s">
        <v>110</v>
      </c>
      <c r="D10" s="966"/>
      <c r="E10" s="967">
        <f ca="1">N8</f>
        <v>893320</v>
      </c>
      <c r="F10" s="965" t="s">
        <v>1088</v>
      </c>
      <c r="G10" s="968"/>
      <c r="H10" s="966"/>
      <c r="I10" s="919">
        <f ca="1">IF($AH$38=2,0,N7)</f>
        <v>0</v>
      </c>
      <c r="J10" s="1236">
        <f ca="1">MIN(I10:I12)</f>
        <v>0</v>
      </c>
      <c r="K10" s="1230"/>
      <c r="L10" s="819"/>
      <c r="M10" s="255"/>
      <c r="N10" s="255">
        <f ca="1">N8+N9</f>
        <v>1207710</v>
      </c>
      <c r="O10" s="154"/>
      <c r="P10" s="154"/>
      <c r="Q10" s="822"/>
      <c r="R10" s="822"/>
      <c r="S10" s="822"/>
      <c r="T10" s="822"/>
      <c r="U10" s="822"/>
      <c r="W10" s="904"/>
      <c r="AG10" s="823"/>
      <c r="AH10" s="822"/>
      <c r="AI10" s="822"/>
      <c r="AJ10" s="822"/>
      <c r="AK10" s="822"/>
      <c r="AL10" s="822"/>
      <c r="AM10" s="822"/>
      <c r="AN10" s="822"/>
      <c r="AO10" s="822"/>
      <c r="AP10" s="822"/>
      <c r="AQ10" s="822"/>
      <c r="AR10" s="37">
        <f ca="1">N13</f>
        <v>0</v>
      </c>
      <c r="AS10" s="1240"/>
      <c r="AT10" s="1239"/>
      <c r="AU10" s="822"/>
      <c r="AV10" s="821"/>
      <c r="AW10" s="824" t="str">
        <f>IF(AV10="","",SUM($AV$6:AV10))</f>
        <v/>
      </c>
      <c r="AX10" s="822"/>
      <c r="AY10" s="822"/>
    </row>
    <row r="11" spans="1:56" s="818" customFormat="1" ht="13.9" customHeight="1" x14ac:dyDescent="0.25">
      <c r="A11" s="1232"/>
      <c r="B11" s="1226"/>
      <c r="C11" s="969" t="s">
        <v>1087</v>
      </c>
      <c r="D11" s="970"/>
      <c r="E11" s="971">
        <f ca="1">N9</f>
        <v>314390</v>
      </c>
      <c r="F11" s="969" t="s">
        <v>1063</v>
      </c>
      <c r="G11" s="972"/>
      <c r="H11" s="970"/>
      <c r="I11" s="883">
        <f ca="1">IF($AH$38=2,0,N13)</f>
        <v>0</v>
      </c>
      <c r="J11" s="1236"/>
      <c r="K11" s="1230"/>
      <c r="L11" s="819"/>
      <c r="M11" s="820">
        <v>0.1</v>
      </c>
      <c r="N11" s="821">
        <f ca="1">ROUND(N10*10%,0.1)</f>
        <v>120771</v>
      </c>
      <c r="O11" s="822"/>
      <c r="P11" s="822"/>
      <c r="Q11" s="822"/>
      <c r="R11" s="822"/>
      <c r="S11" s="822"/>
      <c r="T11" s="822"/>
      <c r="U11" s="822"/>
      <c r="W11" s="904"/>
      <c r="AG11" s="823"/>
      <c r="AH11" s="822"/>
      <c r="AI11" s="822"/>
      <c r="AJ11" s="822"/>
      <c r="AK11" s="822"/>
      <c r="AL11" s="822"/>
      <c r="AM11" s="822"/>
      <c r="AN11" s="822"/>
      <c r="AO11" s="822"/>
      <c r="AP11" s="822"/>
      <c r="AQ11" s="822"/>
      <c r="AR11" s="37">
        <f ca="1">N12</f>
        <v>483084</v>
      </c>
      <c r="AS11" s="1240"/>
      <c r="AT11" s="1239"/>
      <c r="AU11" s="822"/>
      <c r="AV11" s="821"/>
      <c r="AW11" s="824" t="str">
        <f>IF(AV11="","",SUM($AV$6:AV11))</f>
        <v/>
      </c>
      <c r="AX11" s="822"/>
      <c r="AY11" s="822"/>
    </row>
    <row r="12" spans="1:56" s="818" customFormat="1" ht="13.9" customHeight="1" x14ac:dyDescent="0.25">
      <c r="A12" s="1232"/>
      <c r="B12" s="1226"/>
      <c r="C12" s="969" t="s">
        <v>1065</v>
      </c>
      <c r="D12" s="970"/>
      <c r="E12" s="971" t="str">
        <f ca="1">IF($AH$38=2,"",P19)</f>
        <v/>
      </c>
      <c r="F12" s="969" t="s">
        <v>1064</v>
      </c>
      <c r="G12" s="972"/>
      <c r="H12" s="970"/>
      <c r="I12" s="883">
        <f ca="1">IF($AH$38=2,0,N12)</f>
        <v>0</v>
      </c>
      <c r="J12" s="1236"/>
      <c r="K12" s="1230"/>
      <c r="L12" s="819"/>
      <c r="M12" s="820">
        <v>0.4</v>
      </c>
      <c r="N12" s="821">
        <f ca="1">IF(AH40=1,0,ROUND(N10*40%,0))</f>
        <v>483084</v>
      </c>
      <c r="O12" s="822"/>
      <c r="P12" s="822"/>
      <c r="Q12" s="822"/>
      <c r="R12" s="822"/>
      <c r="S12" s="822"/>
      <c r="T12" s="822"/>
      <c r="U12" s="822"/>
      <c r="W12" s="904"/>
      <c r="AG12" s="823"/>
      <c r="AH12" s="822"/>
      <c r="AI12" s="822"/>
      <c r="AJ12" s="822"/>
      <c r="AK12" s="822"/>
      <c r="AL12" s="822"/>
      <c r="AM12" s="822"/>
      <c r="AN12" s="822"/>
      <c r="AO12" s="822"/>
      <c r="AP12" s="822"/>
      <c r="AQ12" s="822"/>
      <c r="AR12" s="826"/>
      <c r="AS12" s="241">
        <f ca="1">$BD$17</f>
        <v>0</v>
      </c>
      <c r="AT12" s="1239"/>
      <c r="AU12" s="822"/>
      <c r="AV12" s="827">
        <f ca="1">-$BD$15</f>
        <v>0</v>
      </c>
      <c r="AW12" s="824">
        <f ca="1">IF(AV12="","",SUM($AV$6:AV12))</f>
        <v>1417818</v>
      </c>
      <c r="AX12" s="822"/>
      <c r="AY12" s="822"/>
      <c r="AZ12" s="822"/>
      <c r="BA12" s="822"/>
    </row>
    <row r="13" spans="1:56" ht="13.9" customHeight="1" thickBot="1" x14ac:dyDescent="0.3">
      <c r="A13" s="1232"/>
      <c r="B13" s="1227"/>
      <c r="C13" s="1233" t="str">
        <f ca="1">IF(OR(AZ17=0,$AH$38=2),"","(Rent: @ "&amp;O20&amp;"/-PM "&amp;"X"&amp;P17&amp;"M=Rs."&amp;P19)</f>
        <v/>
      </c>
      <c r="D13" s="1234"/>
      <c r="E13" s="1238"/>
      <c r="F13" s="1233" t="str">
        <f ca="1">IF($AH$38=2,"","Rs."&amp;E12&amp;"- 10%  X ("&amp;E10&amp;"+"&amp;E11&amp;")=Rs."&amp;I11)</f>
        <v/>
      </c>
      <c r="G13" s="1234"/>
      <c r="H13" s="1234"/>
      <c r="I13" s="1235"/>
      <c r="J13" s="1237"/>
      <c r="K13" s="1230"/>
      <c r="L13" s="560"/>
      <c r="M13" s="825" t="s">
        <v>296</v>
      </c>
      <c r="N13" s="821">
        <f ca="1">MAX(0,SUM(P18-N11))</f>
        <v>0</v>
      </c>
      <c r="O13" s="822"/>
      <c r="P13" s="822"/>
      <c r="Q13" s="154"/>
      <c r="R13" s="154"/>
      <c r="S13" s="154"/>
      <c r="T13" s="154"/>
      <c r="U13" s="154"/>
      <c r="W13" s="903"/>
      <c r="AG13" s="415"/>
      <c r="AH13" s="154"/>
      <c r="AI13" s="154"/>
      <c r="AJ13" s="154"/>
      <c r="AK13" s="154"/>
      <c r="AL13" s="154"/>
      <c r="AM13" s="154"/>
      <c r="AN13" s="154"/>
      <c r="AO13" s="154"/>
      <c r="AP13" s="154"/>
      <c r="AQ13" s="154"/>
      <c r="AR13" s="246"/>
      <c r="AS13" s="241">
        <f>J15</f>
        <v>0</v>
      </c>
      <c r="AT13" s="1239"/>
      <c r="AU13" s="154"/>
      <c r="AV13" s="255"/>
      <c r="AW13" s="158" t="str">
        <f>IF(AV13="","",SUM($AV$6:AV13))</f>
        <v/>
      </c>
      <c r="AX13" s="154"/>
      <c r="AY13" s="154"/>
      <c r="AZ13" s="154"/>
      <c r="BA13" s="154"/>
    </row>
    <row r="14" spans="1:56" ht="13.9" customHeight="1" x14ac:dyDescent="0.25">
      <c r="A14" s="1232"/>
      <c r="B14" s="927" t="s">
        <v>1076</v>
      </c>
      <c r="C14" s="962" t="s">
        <v>1066</v>
      </c>
      <c r="D14" s="962"/>
      <c r="E14" s="962"/>
      <c r="F14" s="962"/>
      <c r="G14" s="962"/>
      <c r="H14" s="962"/>
      <c r="I14" s="962"/>
      <c r="J14" s="921">
        <f ca="1">IF($AH$38=2,-AV12,AS12)</f>
        <v>0</v>
      </c>
      <c r="K14" s="1230"/>
      <c r="L14" s="561"/>
      <c r="M14" s="1258" t="s">
        <v>613</v>
      </c>
      <c r="N14" s="1260">
        <f ca="1">IFERROR(IF(AH40=1,0,ROUND((N7+N11)/P17,-2)+100),0)</f>
        <v>17600</v>
      </c>
      <c r="O14" s="154"/>
      <c r="P14" s="154"/>
      <c r="Q14" s="154"/>
      <c r="R14" s="154"/>
      <c r="S14" s="154"/>
      <c r="T14" s="154"/>
      <c r="U14" s="154"/>
      <c r="W14" s="905"/>
      <c r="AG14" s="415"/>
      <c r="AH14" s="154"/>
      <c r="AI14" s="154"/>
      <c r="AJ14" s="154"/>
      <c r="AK14" s="154"/>
      <c r="AL14" s="154"/>
      <c r="AM14" s="154"/>
      <c r="AN14" s="154"/>
      <c r="AO14" s="154"/>
      <c r="AP14" s="154"/>
      <c r="AQ14" s="154"/>
      <c r="AR14" s="257"/>
      <c r="AS14" s="261">
        <f ca="1">-SUM(AS8:AS13)</f>
        <v>0</v>
      </c>
      <c r="AT14" s="262">
        <f ca="1">AT6+AS14</f>
        <v>1417818</v>
      </c>
      <c r="AU14" s="154"/>
      <c r="AV14" s="255"/>
      <c r="AW14" s="158" t="str">
        <f>IF(AV14="","",SUM($AV$6:AV14))</f>
        <v/>
      </c>
      <c r="AX14" s="154"/>
      <c r="AY14" s="154"/>
      <c r="AZ14" s="154"/>
      <c r="BA14" s="154"/>
    </row>
    <row r="15" spans="1:56" ht="13.9" customHeight="1" x14ac:dyDescent="0.25">
      <c r="A15" s="1232"/>
      <c r="B15" s="927" t="s">
        <v>1075</v>
      </c>
      <c r="C15" s="855" t="s">
        <v>1067</v>
      </c>
      <c r="D15" s="855"/>
      <c r="E15" s="855"/>
      <c r="F15" s="855"/>
      <c r="G15" s="855"/>
      <c r="H15" s="855"/>
      <c r="I15" s="855"/>
      <c r="J15" s="921">
        <v>0</v>
      </c>
      <c r="K15" s="1231"/>
      <c r="L15" s="560"/>
      <c r="M15" s="1259"/>
      <c r="N15" s="1261"/>
      <c r="O15" s="154"/>
      <c r="P15" s="154"/>
      <c r="Q15" s="154"/>
      <c r="R15" s="154"/>
      <c r="S15" s="154"/>
      <c r="T15" s="154"/>
      <c r="U15" s="154"/>
      <c r="W15" s="903"/>
      <c r="AG15" s="415"/>
      <c r="AH15" s="154"/>
      <c r="AI15" s="154"/>
      <c r="AJ15" s="154"/>
      <c r="AK15" s="154"/>
      <c r="AL15" s="154"/>
      <c r="AM15" s="154"/>
      <c r="AN15" s="154"/>
      <c r="AO15" s="154"/>
      <c r="AP15" s="154"/>
      <c r="AQ15" s="154"/>
      <c r="AR15" s="257"/>
      <c r="AS15" s="258"/>
      <c r="AT15" s="1239"/>
      <c r="AU15" s="154"/>
      <c r="AV15" s="255"/>
      <c r="AW15" s="158" t="str">
        <f>IF(AV15="","",SUM($AV$6:AV15))</f>
        <v/>
      </c>
      <c r="AX15" s="154"/>
      <c r="AY15" s="154"/>
      <c r="AZ15" s="255">
        <f ca="1">SUMIF('Statement(edit)'!$D$4:$Q$4,"HRA",'Statement(edit)'!$D$29:$Q$29)</f>
        <v>89332</v>
      </c>
      <c r="BA15" s="255" t="s">
        <v>67</v>
      </c>
      <c r="BC15" s="1" t="s">
        <v>6</v>
      </c>
      <c r="BD15" s="1">
        <f ca="1">SUMIF('Statement(edit)'!$D$4:$Q$4,"PHC",'Statement(edit)'!$D$29:$Q$29)</f>
        <v>0</v>
      </c>
    </row>
    <row r="16" spans="1:56" ht="13.9" customHeight="1" x14ac:dyDescent="0.25">
      <c r="A16" s="884">
        <v>3</v>
      </c>
      <c r="B16" s="973" t="s">
        <v>1092</v>
      </c>
      <c r="C16" s="855"/>
      <c r="D16" s="855"/>
      <c r="E16" s="855"/>
      <c r="F16" s="855"/>
      <c r="G16" s="855"/>
      <c r="H16" s="855"/>
      <c r="I16" s="855"/>
      <c r="J16" s="832">
        <f ca="1">-SUM(I17:I19)</f>
        <v>-75000</v>
      </c>
      <c r="K16" s="833">
        <f ca="1">K20</f>
        <v>1342818</v>
      </c>
      <c r="L16" s="560"/>
      <c r="M16" s="154"/>
      <c r="N16" s="154"/>
      <c r="O16" s="154"/>
      <c r="P16" s="154"/>
      <c r="W16" s="903"/>
      <c r="AG16" s="415"/>
      <c r="AH16" s="154"/>
      <c r="AI16" s="154"/>
      <c r="AJ16" s="154"/>
      <c r="AK16" s="154"/>
      <c r="AL16" s="154"/>
      <c r="AM16" s="154"/>
      <c r="AN16" s="154"/>
      <c r="AO16" s="154"/>
      <c r="AP16" s="154"/>
      <c r="AQ16" s="154"/>
      <c r="AR16" s="257"/>
      <c r="AS16" s="263">
        <v>50000</v>
      </c>
      <c r="AT16" s="1239"/>
      <c r="AU16" s="154"/>
      <c r="AV16" s="255">
        <v>-75000</v>
      </c>
      <c r="AW16" s="158">
        <f ca="1">IF(AV16="","",SUM($AV$6:AV16))</f>
        <v>1342818</v>
      </c>
      <c r="AX16" s="154"/>
      <c r="AY16" s="154"/>
      <c r="AZ16" s="255">
        <f ca="1">SUMIF('Statement(edit)'!$D$4:$Q$4,"AHRA",'Statement(edit)'!$D$29:$Q$29)</f>
        <v>0</v>
      </c>
      <c r="BA16" s="255" t="s">
        <v>83</v>
      </c>
      <c r="BC16" s="1" t="str">
        <f>DATA!$CJ$16</f>
        <v>Reader Allowance</v>
      </c>
      <c r="BD16" s="1">
        <f>SUMIF('Statement(edit)'!$D$4:$Q$4,$BC$16,'Statement(edit)'!$D$29:$Q$29)</f>
        <v>0</v>
      </c>
    </row>
    <row r="17" spans="1:56" ht="13.9" customHeight="1" x14ac:dyDescent="0.3">
      <c r="A17" s="852"/>
      <c r="B17" s="887" t="s">
        <v>1074</v>
      </c>
      <c r="C17" s="974" t="s">
        <v>1068</v>
      </c>
      <c r="D17" s="855"/>
      <c r="E17" s="855"/>
      <c r="F17" s="855"/>
      <c r="G17" s="855"/>
      <c r="H17" s="855"/>
      <c r="I17" s="888">
        <f ca="1">IF($AH$38=2,75000,50000)</f>
        <v>75000</v>
      </c>
      <c r="J17" s="1286"/>
      <c r="K17" s="1289"/>
      <c r="L17" s="560"/>
      <c r="M17" s="572" t="s">
        <v>454</v>
      </c>
      <c r="N17" s="255">
        <f>12-O17</f>
        <v>12</v>
      </c>
      <c r="O17" s="255">
        <f>IFERROR(IF(DATA!L48="",0,12-MATCH(DATA!O48,_MONTHS,0)+1),0)</f>
        <v>0</v>
      </c>
      <c r="P17" s="255">
        <f>IF(AND(N19=0,O19=0),12,IF(N19=0,0,N17)+IF(O19=0,0,O17))</f>
        <v>12</v>
      </c>
      <c r="W17" s="903"/>
      <c r="AG17" s="415"/>
      <c r="AH17" s="154"/>
      <c r="AI17" s="154"/>
      <c r="AJ17" s="154"/>
      <c r="AK17" s="154"/>
      <c r="AL17" s="154"/>
      <c r="AM17" s="154"/>
      <c r="AN17" s="154"/>
      <c r="AO17" s="154"/>
      <c r="AP17" s="154"/>
      <c r="AQ17" s="154"/>
      <c r="AR17" s="257"/>
      <c r="AS17" s="263">
        <v>0</v>
      </c>
      <c r="AT17" s="1239"/>
      <c r="AU17" s="154"/>
      <c r="AV17" s="255"/>
      <c r="AW17" s="158" t="str">
        <f>IF(AV17="","",SUM($AV$6:AV17))</f>
        <v/>
      </c>
      <c r="AX17" s="154"/>
      <c r="AY17" s="154"/>
      <c r="AZ17" s="255">
        <f ca="1">SUM(AZ15+AZ16)</f>
        <v>89332</v>
      </c>
      <c r="BA17" s="255"/>
      <c r="BC17" s="1"/>
      <c r="BD17" s="255">
        <f ca="1">SUM(BD15+BD16)</f>
        <v>0</v>
      </c>
    </row>
    <row r="18" spans="1:56" ht="13.9" customHeight="1" x14ac:dyDescent="0.3">
      <c r="A18" s="852"/>
      <c r="B18" s="887" t="s">
        <v>1076</v>
      </c>
      <c r="C18" s="974" t="s">
        <v>1096</v>
      </c>
      <c r="D18" s="855"/>
      <c r="E18" s="855"/>
      <c r="F18" s="855"/>
      <c r="G18" s="855"/>
      <c r="H18" s="855"/>
      <c r="I18" s="888">
        <v>0</v>
      </c>
      <c r="J18" s="1287"/>
      <c r="K18" s="1290"/>
      <c r="L18" s="560"/>
      <c r="M18" s="255" t="s">
        <v>295</v>
      </c>
      <c r="N18" s="255">
        <f>DATA!M45</f>
        <v>0</v>
      </c>
      <c r="O18" s="255">
        <f>DATA!L48</f>
        <v>0</v>
      </c>
      <c r="P18" s="255">
        <f>IFERROR(P19,0)</f>
        <v>0</v>
      </c>
      <c r="Q18" s="154"/>
      <c r="R18" s="154"/>
      <c r="S18" s="154"/>
      <c r="T18" s="154"/>
      <c r="U18" s="154"/>
      <c r="W18" s="903"/>
      <c r="AG18" s="415"/>
      <c r="AH18" s="154"/>
      <c r="AI18" s="154"/>
      <c r="AJ18" s="154"/>
      <c r="AK18" s="154"/>
      <c r="AL18" s="154"/>
      <c r="AM18" s="154"/>
      <c r="AN18" s="154"/>
      <c r="AO18" s="154"/>
      <c r="AP18" s="154"/>
      <c r="AQ18" s="154"/>
      <c r="AR18" s="257"/>
      <c r="AS18" s="263">
        <f ca="1">'Statement(edit)'!Y29</f>
        <v>2400</v>
      </c>
      <c r="AT18" s="1239"/>
      <c r="AU18" s="154"/>
      <c r="AV18" s="255"/>
      <c r="AW18" s="158" t="str">
        <f>IF(AV18="","",SUM($AV$6:AV18))</f>
        <v/>
      </c>
      <c r="AX18" s="154"/>
      <c r="AY18" s="154"/>
      <c r="AZ18" s="154"/>
      <c r="BA18" s="154"/>
    </row>
    <row r="19" spans="1:56" ht="13.9" customHeight="1" x14ac:dyDescent="0.3">
      <c r="A19" s="852"/>
      <c r="B19" s="932" t="s">
        <v>1075</v>
      </c>
      <c r="C19" s="974" t="s">
        <v>1069</v>
      </c>
      <c r="D19" s="855"/>
      <c r="E19" s="855"/>
      <c r="F19" s="855"/>
      <c r="G19" s="855"/>
      <c r="H19" s="855"/>
      <c r="I19" s="888">
        <f ca="1">IF($AH$38=2,0,'Statement(edit)'!Y29)</f>
        <v>0</v>
      </c>
      <c r="J19" s="1288"/>
      <c r="K19" s="1291"/>
      <c r="L19" s="561"/>
      <c r="M19" s="255" t="s">
        <v>455</v>
      </c>
      <c r="N19" s="255">
        <f>N18*N17</f>
        <v>0</v>
      </c>
      <c r="O19" s="255">
        <f>O18*O17</f>
        <v>0</v>
      </c>
      <c r="P19" s="255">
        <f>N19+O19</f>
        <v>0</v>
      </c>
      <c r="Q19" s="154"/>
      <c r="R19" s="154"/>
      <c r="S19" s="154"/>
      <c r="T19" s="154"/>
      <c r="U19" s="154"/>
      <c r="W19" s="905"/>
      <c r="AG19" s="415"/>
      <c r="AH19" s="154"/>
      <c r="AI19" s="154"/>
      <c r="AJ19" s="154"/>
      <c r="AK19" s="154"/>
      <c r="AL19" s="154"/>
      <c r="AM19" s="154"/>
      <c r="AN19" s="154"/>
      <c r="AO19" s="154"/>
      <c r="AP19" s="154"/>
      <c r="AQ19" s="154"/>
      <c r="AR19" s="257"/>
      <c r="AS19" s="261">
        <f ca="1">-SUM(AS16:AS18)</f>
        <v>-52400</v>
      </c>
      <c r="AT19" s="262">
        <f ca="1">AT20</f>
        <v>1365418</v>
      </c>
      <c r="AU19" s="154"/>
      <c r="AV19" s="256">
        <v>0</v>
      </c>
      <c r="AW19" s="158">
        <f ca="1">IF(AV19="","",SUM($AV$6:AV19))</f>
        <v>1342818</v>
      </c>
      <c r="AX19" s="154"/>
      <c r="AY19" s="154"/>
      <c r="AZ19" s="154"/>
      <c r="BA19" s="154"/>
    </row>
    <row r="20" spans="1:56" ht="13.9" customHeight="1" x14ac:dyDescent="0.25">
      <c r="A20" s="853">
        <v>4</v>
      </c>
      <c r="B20" s="973" t="s">
        <v>1070</v>
      </c>
      <c r="C20" s="855"/>
      <c r="D20" s="855"/>
      <c r="E20" s="855"/>
      <c r="F20" s="855"/>
      <c r="G20" s="855"/>
      <c r="H20" s="855"/>
      <c r="I20" s="972"/>
      <c r="J20" s="828"/>
      <c r="K20" s="833">
        <f ca="1">K8+J16</f>
        <v>1342818</v>
      </c>
      <c r="L20" s="562"/>
      <c r="M20" s="154"/>
      <c r="N20" s="572" t="s">
        <v>734</v>
      </c>
      <c r="O20" s="255">
        <f>IFERROR(ROUND(P18/P17,0),0)</f>
        <v>0</v>
      </c>
      <c r="P20" s="154"/>
      <c r="Q20" s="154"/>
      <c r="R20" s="154"/>
      <c r="S20" s="154"/>
      <c r="T20" s="154"/>
      <c r="U20" s="154"/>
      <c r="W20" s="906"/>
      <c r="AG20" s="415"/>
      <c r="AH20" s="154"/>
      <c r="AI20" s="154"/>
      <c r="AJ20" s="154"/>
      <c r="AK20" s="154"/>
      <c r="AL20" s="154"/>
      <c r="AM20" s="154"/>
      <c r="AN20" s="154"/>
      <c r="AO20" s="154"/>
      <c r="AP20" s="154"/>
      <c r="AQ20" s="154"/>
      <c r="AR20" s="257"/>
      <c r="AS20" s="258"/>
      <c r="AT20" s="264">
        <f ca="1">AT14+AS19</f>
        <v>1365418</v>
      </c>
      <c r="AU20" s="154"/>
      <c r="AV20" s="255"/>
      <c r="AW20" s="158" t="str">
        <f>IF(AV20="","",SUM($AV$6:AV20))</f>
        <v/>
      </c>
      <c r="AX20" s="154"/>
      <c r="AY20" s="154"/>
      <c r="AZ20" s="154"/>
      <c r="BA20" s="154"/>
    </row>
    <row r="21" spans="1:56" ht="13.9" customHeight="1" x14ac:dyDescent="0.25">
      <c r="A21" s="1218">
        <v>5</v>
      </c>
      <c r="B21" s="890" t="str">
        <f ca="1">IF($AH$38=2,"",IF(J21=0,"",IF(J21&lt;0,"Loss","Add")))&amp;" Income or Loss from House Property U/s 24[B] &lt;2,00,000  E=D-(A-(B+C))"</f>
        <v xml:space="preserve"> Income or Loss from House Property U/s 24[B] &lt;2,00,000  E=D-(A-(B+C))</v>
      </c>
      <c r="C21" s="855"/>
      <c r="D21" s="855"/>
      <c r="E21" s="855"/>
      <c r="F21" s="855"/>
      <c r="G21" s="855"/>
      <c r="H21" s="855"/>
      <c r="I21" s="975"/>
      <c r="J21" s="832">
        <f ca="1">IF($AH$38=2,I22,MIN((I22-(I23+I24))-I25,200000))</f>
        <v>0</v>
      </c>
      <c r="K21" s="889">
        <f ca="1">K20+J21</f>
        <v>1342818</v>
      </c>
      <c r="L21" s="561"/>
      <c r="M21" s="154"/>
      <c r="O21" s="154"/>
      <c r="P21" s="154"/>
      <c r="Q21" s="154"/>
      <c r="R21" s="154"/>
      <c r="S21" s="154"/>
      <c r="T21" s="154"/>
      <c r="U21" s="154"/>
      <c r="W21" s="905"/>
      <c r="AG21" s="415"/>
      <c r="AH21" s="154"/>
      <c r="AI21" s="154"/>
      <c r="AJ21" s="154"/>
      <c r="AK21" s="154"/>
      <c r="AL21" s="154"/>
      <c r="AM21" s="154"/>
      <c r="AN21" s="154"/>
      <c r="AO21" s="154"/>
      <c r="AP21" s="154"/>
      <c r="AQ21" s="154"/>
      <c r="AR21" s="257"/>
      <c r="AS21" s="241">
        <f>IFERROR(ROUND(DATA!I18-DATA!I18*30%,0),0)</f>
        <v>0</v>
      </c>
      <c r="AT21" s="262"/>
      <c r="AU21" s="154"/>
      <c r="AV21" s="256">
        <f>IFERROR(ROUND(DATA!I18-DATA!I18*30%,0),0)</f>
        <v>0</v>
      </c>
      <c r="AW21" s="158">
        <f ca="1">IF(AV21="","",SUM($AV$6:AV21))</f>
        <v>1342818</v>
      </c>
      <c r="AX21" s="154"/>
      <c r="AY21" s="154"/>
      <c r="AZ21" s="154"/>
      <c r="BA21" s="154"/>
    </row>
    <row r="22" spans="1:56" ht="13.9" customHeight="1" x14ac:dyDescent="0.25">
      <c r="A22" s="1218"/>
      <c r="B22" s="887" t="s">
        <v>1074</v>
      </c>
      <c r="C22" s="855" t="s">
        <v>1073</v>
      </c>
      <c r="D22" s="855"/>
      <c r="E22" s="855"/>
      <c r="F22" s="855"/>
      <c r="G22" s="855"/>
      <c r="H22" s="855"/>
      <c r="I22" s="834">
        <f>DATA!E18</f>
        <v>0</v>
      </c>
      <c r="J22" s="1221"/>
      <c r="K22" s="1289"/>
      <c r="L22" s="561"/>
      <c r="M22" s="154"/>
      <c r="N22" s="154"/>
      <c r="O22" s="154"/>
      <c r="P22" s="154"/>
      <c r="Q22" s="154"/>
      <c r="R22" s="154"/>
      <c r="S22" s="154"/>
      <c r="T22" s="154"/>
      <c r="U22" s="154"/>
      <c r="W22" s="905"/>
      <c r="AG22" s="415"/>
      <c r="AH22" s="154"/>
      <c r="AI22" s="154"/>
      <c r="AJ22" s="154"/>
      <c r="AK22" s="154"/>
      <c r="AL22" s="154"/>
      <c r="AM22" s="154"/>
      <c r="AN22" s="154"/>
      <c r="AO22" s="154"/>
      <c r="AP22" s="154"/>
      <c r="AQ22" s="154"/>
      <c r="AR22" s="265"/>
      <c r="AS22" s="241">
        <f>Sections!S45</f>
        <v>0</v>
      </c>
      <c r="AT22" s="262"/>
      <c r="AU22" s="154"/>
      <c r="AV22" s="255"/>
      <c r="AW22" s="158" t="str">
        <f>IF(AV22="","",SUM($AV$6:AV22))</f>
        <v/>
      </c>
      <c r="AX22" s="154"/>
      <c r="AY22" s="154"/>
      <c r="AZ22" s="154"/>
      <c r="BA22" s="154"/>
    </row>
    <row r="23" spans="1:56" ht="13.9" customHeight="1" x14ac:dyDescent="0.25">
      <c r="A23" s="1218"/>
      <c r="B23" s="887" t="s">
        <v>1076</v>
      </c>
      <c r="C23" s="855" t="s">
        <v>1078</v>
      </c>
      <c r="D23" s="855"/>
      <c r="E23" s="855"/>
      <c r="F23" s="855"/>
      <c r="G23" s="855"/>
      <c r="H23" s="855"/>
      <c r="I23" s="894">
        <f>DATA!I18</f>
        <v>0</v>
      </c>
      <c r="J23" s="1292"/>
      <c r="K23" s="1290"/>
      <c r="L23" s="563"/>
      <c r="M23" s="154"/>
      <c r="N23" s="154"/>
      <c r="O23" s="154"/>
      <c r="P23" s="154"/>
      <c r="Q23" s="154"/>
      <c r="R23" s="154"/>
      <c r="S23" s="154"/>
      <c r="T23" s="154"/>
      <c r="U23" s="154"/>
      <c r="W23" s="907"/>
      <c r="AG23" s="415"/>
      <c r="AH23" s="154"/>
      <c r="AI23" s="154"/>
      <c r="AJ23" s="154"/>
      <c r="AK23" s="154"/>
      <c r="AL23" s="154"/>
      <c r="AM23" s="154"/>
      <c r="AN23" s="154"/>
      <c r="AO23" s="154"/>
      <c r="AP23" s="154"/>
      <c r="AQ23" s="154"/>
      <c r="AR23" s="265"/>
      <c r="AS23" s="261">
        <f>MIN(SUM(AS21-AS22),200000)</f>
        <v>0</v>
      </c>
      <c r="AT23" s="36">
        <f ca="1">AT20+AS23</f>
        <v>1365418</v>
      </c>
      <c r="AU23" s="154"/>
      <c r="AV23" s="255"/>
      <c r="AW23" s="158" t="str">
        <f>IF(AV23="","",SUM($AV$6:AV23))</f>
        <v/>
      </c>
      <c r="AX23" s="154"/>
      <c r="AY23" s="154"/>
      <c r="AZ23" s="154"/>
      <c r="BA23" s="154"/>
    </row>
    <row r="24" spans="1:56" ht="13.9" customHeight="1" x14ac:dyDescent="0.25">
      <c r="A24" s="1218"/>
      <c r="B24" s="887" t="s">
        <v>1075</v>
      </c>
      <c r="C24" s="976" t="s">
        <v>1108</v>
      </c>
      <c r="D24" s="855"/>
      <c r="E24" s="855"/>
      <c r="F24" s="855"/>
      <c r="G24" s="855"/>
      <c r="H24" s="855"/>
      <c r="I24" s="821">
        <f>IFERROR(ROUND((I22-I23)*30%,0),0)</f>
        <v>0</v>
      </c>
      <c r="J24" s="1292"/>
      <c r="K24" s="1290"/>
      <c r="L24" s="561"/>
      <c r="Q24" s="154"/>
      <c r="R24" s="154"/>
      <c r="S24" s="154"/>
      <c r="T24" s="154"/>
      <c r="U24" s="154"/>
      <c r="W24" s="905"/>
      <c r="AG24" s="415"/>
      <c r="AH24" s="154"/>
      <c r="AI24" s="154"/>
      <c r="AJ24" s="154"/>
      <c r="AK24" s="154"/>
      <c r="AL24" s="154"/>
      <c r="AM24" s="154"/>
      <c r="AN24" s="154"/>
      <c r="AO24" s="154"/>
      <c r="AP24" s="154"/>
      <c r="AQ24" s="154"/>
      <c r="AR24" s="265"/>
      <c r="AS24" s="258"/>
      <c r="AT24" s="262"/>
      <c r="AU24" s="154"/>
      <c r="AV24" s="255"/>
      <c r="AW24" s="158" t="str">
        <f>IF(AV24="","",SUM($AV$6:AV24))</f>
        <v/>
      </c>
      <c r="AX24" s="154"/>
      <c r="AY24" s="154"/>
      <c r="AZ24" s="154"/>
      <c r="BA24" s="154"/>
    </row>
    <row r="25" spans="1:56" ht="13.9" customHeight="1" x14ac:dyDescent="0.25">
      <c r="A25" s="1218"/>
      <c r="B25" s="887" t="s">
        <v>1077</v>
      </c>
      <c r="C25" s="855" t="s">
        <v>180</v>
      </c>
      <c r="D25" s="855"/>
      <c r="E25" s="855"/>
      <c r="F25" s="855"/>
      <c r="G25" s="855"/>
      <c r="H25" s="855"/>
      <c r="I25" s="834">
        <f ca="1">IF($AH$38=2,0,Sections!O45)</f>
        <v>0</v>
      </c>
      <c r="J25" s="1222"/>
      <c r="K25" s="1291"/>
      <c r="L25" s="561"/>
      <c r="Q25" s="154"/>
      <c r="R25" s="154"/>
      <c r="S25" s="154"/>
      <c r="T25" s="154"/>
      <c r="U25" s="154"/>
      <c r="W25" s="905"/>
      <c r="AG25" s="415"/>
      <c r="AH25" s="154"/>
      <c r="AI25" s="154"/>
      <c r="AJ25" s="154"/>
      <c r="AK25" s="154"/>
      <c r="AL25" s="154"/>
      <c r="AM25" s="154"/>
      <c r="AN25" s="154"/>
      <c r="AO25" s="154"/>
      <c r="AP25" s="154"/>
      <c r="AQ25" s="154"/>
      <c r="AR25" s="265">
        <f>DATA!$I$17</f>
        <v>0</v>
      </c>
      <c r="AS25" s="262"/>
      <c r="AT25" s="265"/>
      <c r="AU25" s="154"/>
      <c r="AV25" s="256">
        <f>I27</f>
        <v>0</v>
      </c>
      <c r="AW25" s="158">
        <f ca="1">IF(AV25="","",SUM($AV$6:AV25))</f>
        <v>1342818</v>
      </c>
      <c r="AX25" s="154"/>
      <c r="AY25" s="154"/>
      <c r="AZ25" s="154"/>
      <c r="BA25" s="154"/>
    </row>
    <row r="26" spans="1:56" ht="13.9" customHeight="1" x14ac:dyDescent="0.25">
      <c r="A26" s="1219">
        <v>6</v>
      </c>
      <c r="B26" s="890" t="s">
        <v>1079</v>
      </c>
      <c r="C26" s="154"/>
      <c r="D26" s="854"/>
      <c r="E26" s="854"/>
      <c r="F26" s="855"/>
      <c r="G26" s="855"/>
      <c r="H26" s="855"/>
      <c r="I26" s="890"/>
      <c r="J26" s="832">
        <f>SUM(I27:I28)</f>
        <v>0</v>
      </c>
      <c r="K26" s="889">
        <f ca="1">K21+J26</f>
        <v>1342818</v>
      </c>
      <c r="L26" s="33"/>
      <c r="Q26" s="154"/>
      <c r="R26" s="154"/>
      <c r="S26" s="154"/>
      <c r="T26" s="154"/>
      <c r="U26" s="154"/>
      <c r="AG26" s="415"/>
      <c r="AH26" s="154"/>
      <c r="AI26" s="154"/>
      <c r="AJ26" s="154"/>
      <c r="AK26" s="154"/>
      <c r="AL26" s="154"/>
      <c r="AM26" s="154"/>
      <c r="AN26" s="154"/>
      <c r="AO26" s="154"/>
      <c r="AP26" s="154"/>
      <c r="AQ26" s="154"/>
      <c r="AR26" s="265">
        <f>DATA!I19</f>
        <v>0</v>
      </c>
      <c r="AS26" s="266"/>
      <c r="AT26" s="255"/>
      <c r="AU26" s="154"/>
      <c r="AV26" s="256">
        <f>I28</f>
        <v>0</v>
      </c>
      <c r="AW26" s="158">
        <f ca="1">IF(AV26="","",SUM($AV$6:AV26))</f>
        <v>1342818</v>
      </c>
      <c r="AX26" s="154"/>
      <c r="AY26" s="154"/>
      <c r="AZ26" s="154"/>
      <c r="BA26" s="154"/>
    </row>
    <row r="27" spans="1:56" ht="13.9" customHeight="1" x14ac:dyDescent="0.3">
      <c r="A27" s="1219"/>
      <c r="B27" s="887" t="s">
        <v>1074</v>
      </c>
      <c r="C27" s="854" t="str">
        <f>DATA!B17</f>
        <v>Interest on NSC bonds &amp; Bank deposits</v>
      </c>
      <c r="D27" s="855"/>
      <c r="E27" s="854"/>
      <c r="F27" s="855"/>
      <c r="G27" s="855"/>
      <c r="H27" s="855"/>
      <c r="I27" s="836">
        <f>DATA!$I$17</f>
        <v>0</v>
      </c>
      <c r="J27" s="1221"/>
      <c r="K27" s="1223"/>
      <c r="L27" s="561"/>
      <c r="Q27" s="154"/>
      <c r="R27" s="154"/>
      <c r="S27" s="154"/>
      <c r="T27" s="154"/>
      <c r="U27" s="154"/>
      <c r="W27" s="905"/>
      <c r="AG27" s="415"/>
      <c r="AH27" s="154"/>
      <c r="AI27" s="154"/>
      <c r="AJ27" s="154"/>
      <c r="AK27" s="154"/>
      <c r="AL27" s="154"/>
      <c r="AM27" s="154"/>
      <c r="AN27" s="154"/>
      <c r="AO27" s="154"/>
      <c r="AP27" s="154"/>
      <c r="AQ27" s="154"/>
      <c r="AR27" s="267"/>
      <c r="AS27" s="261">
        <f>SUM(AR25:AR26)</f>
        <v>0</v>
      </c>
      <c r="AT27" s="265">
        <f ca="1">AT23+AS27</f>
        <v>1365418</v>
      </c>
      <c r="AU27" s="154"/>
      <c r="AV27" s="255"/>
      <c r="AW27" s="158" t="str">
        <f>IF(AV27="","",SUM($AV$6:AV27))</f>
        <v/>
      </c>
      <c r="AX27" s="154"/>
      <c r="AY27" s="154"/>
      <c r="AZ27" s="154"/>
      <c r="BA27" s="154"/>
    </row>
    <row r="28" spans="1:56" ht="13.9" customHeight="1" x14ac:dyDescent="0.25">
      <c r="A28" s="1220"/>
      <c r="B28" s="887" t="s">
        <v>1076</v>
      </c>
      <c r="C28" s="854" t="str">
        <f>DATA!F19</f>
        <v>Income form other sources</v>
      </c>
      <c r="D28" s="855"/>
      <c r="E28" s="854"/>
      <c r="F28" s="855"/>
      <c r="G28" s="855"/>
      <c r="H28" s="855"/>
      <c r="I28" s="836">
        <f>DATA!I19+IFERROR(SUM(DATA!E19-MIN(ROUND(DATA!E19/3,0),25000)),0)</f>
        <v>0</v>
      </c>
      <c r="J28" s="1222"/>
      <c r="K28" s="1224"/>
      <c r="L28" s="562"/>
      <c r="Q28" s="154"/>
      <c r="R28" s="154"/>
      <c r="S28" s="154"/>
      <c r="T28" s="154"/>
      <c r="U28" s="154"/>
      <c r="W28" s="906"/>
      <c r="AG28" s="415"/>
      <c r="AH28" s="154"/>
      <c r="AI28" s="154"/>
      <c r="AJ28" s="154"/>
      <c r="AK28" s="154"/>
      <c r="AL28" s="154"/>
      <c r="AM28" s="154"/>
      <c r="AN28" s="154"/>
      <c r="AO28" s="154"/>
      <c r="AP28" s="154"/>
      <c r="AQ28" s="154"/>
      <c r="AR28" s="185" t="s">
        <v>184</v>
      </c>
      <c r="AS28" s="242" t="s">
        <v>185</v>
      </c>
      <c r="AT28" s="186" t="s">
        <v>186</v>
      </c>
      <c r="AU28" s="154"/>
      <c r="AV28" s="255"/>
      <c r="AW28" s="158" t="str">
        <f>IF(AV28="","",SUM($AV$6:AV28))</f>
        <v/>
      </c>
      <c r="AX28" s="154"/>
      <c r="AY28" s="154"/>
      <c r="AZ28" s="154"/>
      <c r="BA28" s="154"/>
    </row>
    <row r="29" spans="1:56" ht="13.9" customHeight="1" x14ac:dyDescent="0.25">
      <c r="A29" s="853">
        <v>7</v>
      </c>
      <c r="B29" s="977" t="s">
        <v>1084</v>
      </c>
      <c r="C29" s="855"/>
      <c r="D29" s="855"/>
      <c r="E29" s="855"/>
      <c r="F29" s="855"/>
      <c r="G29" s="855"/>
      <c r="H29" s="855"/>
      <c r="I29" s="972"/>
      <c r="J29" s="828"/>
      <c r="K29" s="836">
        <f ca="1">K20+J21+J26</f>
        <v>1342818</v>
      </c>
      <c r="L29" s="564"/>
      <c r="M29" s="575" t="s">
        <v>726</v>
      </c>
      <c r="N29" s="372">
        <f ca="1">AT53</f>
        <v>1086310</v>
      </c>
      <c r="O29" s="154"/>
      <c r="P29" s="154"/>
      <c r="Q29" s="154"/>
      <c r="R29" s="154"/>
      <c r="S29" s="154"/>
      <c r="T29" s="154"/>
      <c r="U29" s="154"/>
      <c r="W29" s="908"/>
      <c r="AG29" s="415"/>
      <c r="AH29" s="154"/>
      <c r="AI29" s="154"/>
      <c r="AJ29" s="154"/>
      <c r="AK29" s="154"/>
      <c r="AL29" s="154"/>
      <c r="AM29" s="154"/>
      <c r="AN29" s="154"/>
      <c r="AO29" s="154"/>
      <c r="AP29" s="154"/>
      <c r="AQ29" s="154"/>
      <c r="AR29" s="38">
        <f>IF(DATA!$M$7="CPS",0,'Statement(edit)'!S29)</f>
        <v>0</v>
      </c>
      <c r="AS29" s="243">
        <f>AR29</f>
        <v>0</v>
      </c>
      <c r="AT29" s="368"/>
      <c r="AU29" s="154"/>
      <c r="AV29" s="255"/>
      <c r="AW29" s="158" t="str">
        <f>IF(AV29="","",SUM($AV$6:AV29))</f>
        <v/>
      </c>
      <c r="AX29" s="154"/>
      <c r="AY29" s="154"/>
      <c r="AZ29" s="154"/>
      <c r="BA29" s="154"/>
    </row>
    <row r="30" spans="1:56" ht="13.9" customHeight="1" x14ac:dyDescent="0.25">
      <c r="A30" s="884">
        <v>8</v>
      </c>
      <c r="B30" s="885" t="s">
        <v>224</v>
      </c>
      <c r="C30" s="856"/>
      <c r="D30" s="856"/>
      <c r="E30" s="856"/>
      <c r="F30" s="856"/>
      <c r="G30" s="855"/>
      <c r="H30" s="855"/>
      <c r="I30" s="891" t="s">
        <v>1085</v>
      </c>
      <c r="J30" s="892" t="s">
        <v>185</v>
      </c>
      <c r="K30" s="893" t="s">
        <v>1086</v>
      </c>
      <c r="L30" s="565"/>
      <c r="M30" s="362" t="s">
        <v>311</v>
      </c>
      <c r="N30" s="363" t="s">
        <v>312</v>
      </c>
      <c r="O30" s="363" t="s">
        <v>313</v>
      </c>
      <c r="P30" s="363" t="s">
        <v>314</v>
      </c>
      <c r="Q30" s="154"/>
      <c r="R30" s="154"/>
      <c r="S30" s="154"/>
      <c r="T30" s="154"/>
      <c r="U30" s="154"/>
      <c r="W30" s="909"/>
      <c r="AG30" s="415"/>
      <c r="AH30" s="154"/>
      <c r="AI30" s="154"/>
      <c r="AJ30" s="154"/>
      <c r="AK30" s="154"/>
      <c r="AL30" s="154"/>
      <c r="AM30" s="154"/>
      <c r="AN30" s="154"/>
      <c r="AO30" s="154"/>
      <c r="AP30" s="154"/>
      <c r="AQ30" s="154"/>
      <c r="AR30" s="38">
        <f>'Statement(edit)'!T29</f>
        <v>36000</v>
      </c>
      <c r="AS30" s="243">
        <f>AR30</f>
        <v>36000</v>
      </c>
      <c r="AT30" s="368"/>
      <c r="AU30" s="154"/>
      <c r="AV30" s="255"/>
      <c r="AW30" s="158" t="str">
        <f>IF(AV30="","",SUM($AV$6:AV30))</f>
        <v/>
      </c>
      <c r="AX30" s="154"/>
      <c r="AY30" s="154"/>
      <c r="AZ30" s="154"/>
      <c r="BA30" s="154"/>
    </row>
    <row r="31" spans="1:56" ht="13.9" customHeight="1" x14ac:dyDescent="0.25">
      <c r="A31" s="857"/>
      <c r="B31" s="1216" t="s">
        <v>1074</v>
      </c>
      <c r="C31" s="842" t="str">
        <f>"GPF  - "&amp;IF(DATA!M7="CPS","", "No "&amp;DATA!E11&amp;"")</f>
        <v xml:space="preserve">GPF  - </v>
      </c>
      <c r="D31" s="855"/>
      <c r="E31" s="842"/>
      <c r="F31" s="842"/>
      <c r="G31" s="855"/>
      <c r="H31" s="855"/>
      <c r="I31" s="843">
        <f ca="1">IF($AH$38=2,0,IF(DATA!M7="CPS",0,'Statement(edit)'!S29))</f>
        <v>0</v>
      </c>
      <c r="J31" s="843">
        <f t="shared" ref="J31:J39" ca="1" si="0">I31</f>
        <v>0</v>
      </c>
      <c r="K31" s="1297">
        <f ca="1">MIN(150000,MIN(150000,SUM(J40+J41)))</f>
        <v>0</v>
      </c>
      <c r="L31" s="565"/>
      <c r="M31" s="156">
        <f>INDEX(AJ47:AJ50,MATCH(AI44,AG47:AG50,0),1)</f>
        <v>250000</v>
      </c>
      <c r="N31" s="150">
        <f ca="1">IF(N29&lt;=M31,N29-0,M31)</f>
        <v>250000</v>
      </c>
      <c r="O31" s="151">
        <v>0</v>
      </c>
      <c r="P31" s="153">
        <f ca="1">ROUND(N31*O31,0)</f>
        <v>0</v>
      </c>
      <c r="Q31" s="154"/>
      <c r="R31" s="154"/>
      <c r="S31" s="154"/>
      <c r="T31" s="154"/>
      <c r="U31" s="154"/>
      <c r="W31" s="909"/>
      <c r="AG31" s="415"/>
      <c r="AH31" s="154"/>
      <c r="AI31" s="154"/>
      <c r="AJ31" s="154"/>
      <c r="AK31" s="154"/>
      <c r="AL31" s="154"/>
      <c r="AM31" s="154"/>
      <c r="AN31" s="154"/>
      <c r="AO31" s="154"/>
      <c r="AP31" s="154"/>
      <c r="AQ31" s="154"/>
      <c r="AR31" s="38">
        <f>'Statement(edit)'!U29</f>
        <v>1440</v>
      </c>
      <c r="AS31" s="243">
        <f t="shared" ref="AS31:AS37" si="1">AR31</f>
        <v>1440</v>
      </c>
      <c r="AT31" s="368"/>
      <c r="AU31" s="154"/>
      <c r="AV31" s="255"/>
      <c r="AW31" s="158" t="str">
        <f>IF(AV31="","",SUM($AV$6:AV31))</f>
        <v/>
      </c>
      <c r="AX31" s="154"/>
      <c r="AY31" s="154"/>
      <c r="AZ31" s="154"/>
      <c r="BA31" s="154"/>
    </row>
    <row r="32" spans="1:56" ht="13.9" customHeight="1" x14ac:dyDescent="0.25">
      <c r="A32" s="857"/>
      <c r="B32" s="1216"/>
      <c r="C32" s="842" t="str">
        <f>""&amp;DATA!L24&amp;"    No    "&amp;IF(DATA!E10=""," (____________________ )",DATA!E10)</f>
        <v>APGLI    No     (____________________ )</v>
      </c>
      <c r="D32" s="855"/>
      <c r="E32" s="842"/>
      <c r="F32" s="858"/>
      <c r="G32" s="855"/>
      <c r="H32" s="855"/>
      <c r="I32" s="843">
        <f ca="1">IF($AH$38=2,0,'Statement(edit)'!T29)</f>
        <v>0</v>
      </c>
      <c r="J32" s="843">
        <f t="shared" ca="1" si="0"/>
        <v>0</v>
      </c>
      <c r="K32" s="1236"/>
      <c r="L32" s="565"/>
      <c r="M32" s="156">
        <v>500000</v>
      </c>
      <c r="N32" s="150">
        <f ca="1">MAX(IF(N29&lt;=M32,N29-M31,M32-M31),IF(N29&gt;M31,,0))</f>
        <v>250000</v>
      </c>
      <c r="O32" s="151">
        <v>0.05</v>
      </c>
      <c r="P32" s="153">
        <f ca="1">ROUND(N32*O32,0)</f>
        <v>12500</v>
      </c>
      <c r="Q32" s="154"/>
      <c r="R32" s="154"/>
      <c r="S32" s="154"/>
      <c r="T32" s="154"/>
      <c r="U32" s="154"/>
      <c r="W32" s="909"/>
      <c r="AG32" s="415"/>
      <c r="AH32" s="154"/>
      <c r="AI32" s="154"/>
      <c r="AJ32" s="154"/>
      <c r="AK32" s="154"/>
      <c r="AL32" s="154"/>
      <c r="AM32" s="154"/>
      <c r="AN32" s="154"/>
      <c r="AO32" s="154"/>
      <c r="AP32" s="154"/>
      <c r="AQ32" s="154"/>
      <c r="AR32" s="38">
        <f>Sections!H29</f>
        <v>0</v>
      </c>
      <c r="AS32" s="243">
        <f t="shared" si="1"/>
        <v>0</v>
      </c>
      <c r="AT32" s="181"/>
      <c r="AU32" s="154"/>
      <c r="AV32" s="255"/>
      <c r="AW32" s="158" t="str">
        <f>IF(AV32="","",SUM($AV$6:AV32))</f>
        <v/>
      </c>
      <c r="AX32" s="154"/>
      <c r="AY32" s="154"/>
      <c r="AZ32" s="154"/>
      <c r="BA32" s="154"/>
    </row>
    <row r="33" spans="1:53" ht="13.9" customHeight="1" x14ac:dyDescent="0.25">
      <c r="A33" s="857"/>
      <c r="B33" s="1216"/>
      <c r="C33" s="842" t="s">
        <v>8</v>
      </c>
      <c r="D33" s="855"/>
      <c r="E33" s="858"/>
      <c r="F33" s="858"/>
      <c r="G33" s="855"/>
      <c r="H33" s="855"/>
      <c r="I33" s="843">
        <f ca="1">IF($AH$38=2,0,'Statement(edit)'!U29)</f>
        <v>0</v>
      </c>
      <c r="J33" s="843">
        <f t="shared" ca="1" si="0"/>
        <v>0</v>
      </c>
      <c r="K33" s="1236"/>
      <c r="L33" s="565"/>
      <c r="M33" s="157">
        <v>1000000</v>
      </c>
      <c r="N33" s="150">
        <f ca="1">MAX(IF(N29&lt;=M33,N29-M32,M33-M32),IF(N29&gt;M32,,0))</f>
        <v>500000</v>
      </c>
      <c r="O33" s="151">
        <v>0.2</v>
      </c>
      <c r="P33" s="153">
        <f ca="1">ROUND(N33*O33,0)</f>
        <v>100000</v>
      </c>
      <c r="Q33" s="154"/>
      <c r="R33" s="154"/>
      <c r="S33" s="154"/>
      <c r="T33" s="154"/>
      <c r="U33" s="154"/>
      <c r="W33" s="909"/>
      <c r="AG33" s="415"/>
      <c r="AH33" s="154"/>
      <c r="AI33" s="154"/>
      <c r="AJ33" s="154"/>
      <c r="AK33" s="154"/>
      <c r="AL33" s="154"/>
      <c r="AM33" s="154"/>
      <c r="AN33" s="154"/>
      <c r="AO33" s="154"/>
      <c r="AP33" s="154"/>
      <c r="AQ33" s="154"/>
      <c r="AR33" s="38">
        <f>Sections!H30</f>
        <v>0</v>
      </c>
      <c r="AS33" s="243">
        <f t="shared" si="1"/>
        <v>0</v>
      </c>
      <c r="AT33" s="181"/>
      <c r="AU33" s="154"/>
      <c r="AV33" s="255"/>
      <c r="AW33" s="158" t="str">
        <f>IF(AV33="","",SUM($AV$6:AV33))</f>
        <v/>
      </c>
      <c r="AX33" s="154"/>
      <c r="AY33" s="154"/>
      <c r="AZ33" s="154"/>
      <c r="BA33" s="154"/>
    </row>
    <row r="34" spans="1:53" ht="13.9" customHeight="1" x14ac:dyDescent="0.25">
      <c r="A34" s="857"/>
      <c r="B34" s="1216"/>
      <c r="C34" s="842" t="str">
        <f>Sections!F29</f>
        <v xml:space="preserve">Children Tution Fee </v>
      </c>
      <c r="D34" s="855"/>
      <c r="E34" s="858"/>
      <c r="F34" s="858"/>
      <c r="G34" s="855"/>
      <c r="H34" s="855"/>
      <c r="I34" s="843">
        <f ca="1">IF($AH$38=2,0,Sections!H29)</f>
        <v>0</v>
      </c>
      <c r="J34" s="843">
        <f t="shared" ca="1" si="0"/>
        <v>0</v>
      </c>
      <c r="K34" s="1236"/>
      <c r="L34" s="565"/>
      <c r="M34" s="157" t="s">
        <v>315</v>
      </c>
      <c r="N34" s="158">
        <f ca="1">MAX(N29&gt;M33,N29-M33,0)</f>
        <v>86310</v>
      </c>
      <c r="O34" s="151">
        <v>0.3</v>
      </c>
      <c r="P34" s="153">
        <f ca="1">ROUND(N34*O34,0)</f>
        <v>25893</v>
      </c>
      <c r="Q34" s="154"/>
      <c r="R34" s="154"/>
      <c r="S34" s="154"/>
      <c r="T34" s="154"/>
      <c r="U34" s="154"/>
      <c r="W34" s="909"/>
      <c r="AG34" s="415"/>
      <c r="AH34" s="154"/>
      <c r="AI34" s="154"/>
      <c r="AJ34" s="154"/>
      <c r="AK34" s="154"/>
      <c r="AL34" s="154"/>
      <c r="AM34" s="154"/>
      <c r="AN34" s="154"/>
      <c r="AO34" s="154"/>
      <c r="AP34" s="154"/>
      <c r="AQ34" s="154"/>
      <c r="AR34" s="38">
        <f>Sections!H31</f>
        <v>0</v>
      </c>
      <c r="AS34" s="243">
        <f t="shared" si="1"/>
        <v>0</v>
      </c>
      <c r="AT34" s="181"/>
      <c r="AU34" s="154"/>
      <c r="AV34" s="255"/>
      <c r="AW34" s="158" t="str">
        <f>IF(AV34="","",SUM($AV$6:AV34))</f>
        <v/>
      </c>
      <c r="AX34" s="154"/>
      <c r="AY34" s="154"/>
      <c r="AZ34" s="154"/>
      <c r="BA34" s="154"/>
    </row>
    <row r="35" spans="1:53" ht="13.9" customHeight="1" x14ac:dyDescent="0.25">
      <c r="A35" s="857"/>
      <c r="B35" s="1216"/>
      <c r="C35" s="842" t="str">
        <f>Sections!F30</f>
        <v>Repayment of Home Loan Premium (principal component)</v>
      </c>
      <c r="D35" s="855"/>
      <c r="E35" s="842"/>
      <c r="F35" s="842"/>
      <c r="G35" s="855"/>
      <c r="H35" s="855"/>
      <c r="I35" s="843">
        <f ca="1">IF($AH$38=2,0,Sections!H30)</f>
        <v>0</v>
      </c>
      <c r="J35" s="843">
        <f t="shared" ca="1" si="0"/>
        <v>0</v>
      </c>
      <c r="K35" s="1236"/>
      <c r="L35" s="565"/>
      <c r="M35" s="1256" t="s">
        <v>299</v>
      </c>
      <c r="N35" s="1256"/>
      <c r="O35" s="1256"/>
      <c r="P35" s="382">
        <f ca="1">ROUND(SUM(P31:P34),0)</f>
        <v>138393</v>
      </c>
      <c r="Q35" s="154"/>
      <c r="R35" s="154"/>
      <c r="S35" s="154"/>
      <c r="T35" s="154"/>
      <c r="U35" s="154"/>
      <c r="W35" s="909"/>
      <c r="AG35" s="415"/>
      <c r="AH35" s="154"/>
      <c r="AI35" s="154"/>
      <c r="AJ35" s="154"/>
      <c r="AK35" s="154"/>
      <c r="AL35" s="154"/>
      <c r="AM35" s="154"/>
      <c r="AN35" s="154"/>
      <c r="AO35" s="154"/>
      <c r="AP35" s="154"/>
      <c r="AQ35" s="154"/>
      <c r="AR35" s="38">
        <f>Sections!H32</f>
        <v>0</v>
      </c>
      <c r="AS35" s="243">
        <f t="shared" si="1"/>
        <v>0</v>
      </c>
      <c r="AT35" s="181"/>
      <c r="AU35" s="154"/>
      <c r="AV35" s="255"/>
      <c r="AW35" s="158" t="str">
        <f>IF(AV35="","",SUM($AV$6:AV35))</f>
        <v/>
      </c>
      <c r="AX35" s="154"/>
      <c r="AY35" s="154"/>
      <c r="AZ35" s="154"/>
      <c r="BA35" s="154"/>
    </row>
    <row r="36" spans="1:53" ht="13.9" customHeight="1" x14ac:dyDescent="0.25">
      <c r="A36" s="857"/>
      <c r="B36" s="1216"/>
      <c r="C36" s="842" t="str">
        <f>Sections!F31</f>
        <v>National Savings Certificate(NSC)</v>
      </c>
      <c r="D36" s="855"/>
      <c r="E36" s="842"/>
      <c r="F36" s="842"/>
      <c r="G36" s="855"/>
      <c r="H36" s="855"/>
      <c r="I36" s="843">
        <f ca="1">IF($AH$38=2,0,Sections!H31)</f>
        <v>0</v>
      </c>
      <c r="J36" s="843">
        <f t="shared" ca="1" si="0"/>
        <v>0</v>
      </c>
      <c r="K36" s="1236"/>
      <c r="L36" s="565"/>
      <c r="M36" s="1257" t="s">
        <v>733</v>
      </c>
      <c r="N36" s="1257"/>
      <c r="O36" s="1257"/>
      <c r="P36" s="153">
        <f ca="1">AT55</f>
        <v>0</v>
      </c>
      <c r="Q36" s="154"/>
      <c r="R36" s="154"/>
      <c r="S36" s="154"/>
      <c r="T36" s="154"/>
      <c r="U36" s="154"/>
      <c r="W36" s="909"/>
      <c r="AG36" s="415"/>
      <c r="AH36" s="154"/>
      <c r="AI36" s="154"/>
      <c r="AJ36" s="154"/>
      <c r="AK36" s="154"/>
      <c r="AL36" s="154"/>
      <c r="AM36" s="154"/>
      <c r="AN36" s="154"/>
      <c r="AO36" s="154"/>
      <c r="AP36" s="154"/>
      <c r="AQ36" s="154"/>
      <c r="AR36" s="38">
        <f>Sections!H33</f>
        <v>0</v>
      </c>
      <c r="AS36" s="243">
        <f t="shared" si="1"/>
        <v>0</v>
      </c>
      <c r="AT36" s="181"/>
      <c r="AU36" s="154"/>
      <c r="AV36" s="255"/>
      <c r="AW36" s="158" t="str">
        <f>IF(AV36="","",SUM($AV$6:AV36))</f>
        <v/>
      </c>
      <c r="AX36" s="154"/>
      <c r="AY36" s="154"/>
      <c r="AZ36" s="154"/>
      <c r="BA36" s="154"/>
    </row>
    <row r="37" spans="1:53" ht="13.9" customHeight="1" x14ac:dyDescent="0.25">
      <c r="A37" s="857"/>
      <c r="B37" s="1216"/>
      <c r="C37" s="842" t="str">
        <f>Sections!F32</f>
        <v>LIC Annual Premiums Paid by Hand</v>
      </c>
      <c r="D37" s="855"/>
      <c r="E37" s="858"/>
      <c r="F37" s="858"/>
      <c r="G37" s="855"/>
      <c r="H37" s="855"/>
      <c r="I37" s="843">
        <f ca="1">IF($AH$38=2,0,Sections!H32)</f>
        <v>0</v>
      </c>
      <c r="J37" s="843">
        <f t="shared" ca="1" si="0"/>
        <v>0</v>
      </c>
      <c r="K37" s="1236"/>
      <c r="L37" s="565"/>
      <c r="M37" s="1246" t="s">
        <v>728</v>
      </c>
      <c r="N37" s="1246"/>
      <c r="O37" s="1246"/>
      <c r="P37" s="323">
        <f ca="1">MAX(P35-P36,0)</f>
        <v>138393</v>
      </c>
      <c r="Q37" s="154"/>
      <c r="R37" s="154"/>
      <c r="S37" s="154"/>
      <c r="T37" s="154"/>
      <c r="U37" s="154"/>
      <c r="W37" s="909"/>
      <c r="AG37" s="415"/>
      <c r="AH37" s="154" t="str">
        <f ca="1">IF(AH38=2,"New Regime","Old Regime")</f>
        <v>New Regime</v>
      </c>
      <c r="AI37" s="154"/>
      <c r="AJ37" s="154"/>
      <c r="AK37" s="154"/>
      <c r="AL37" s="154"/>
      <c r="AM37" s="154"/>
      <c r="AN37" s="154"/>
      <c r="AO37" s="154"/>
      <c r="AP37" s="154"/>
      <c r="AQ37" s="154"/>
      <c r="AR37" s="38">
        <f>Sections!H34</f>
        <v>0</v>
      </c>
      <c r="AS37" s="243">
        <f t="shared" si="1"/>
        <v>0</v>
      </c>
      <c r="AT37" s="181"/>
      <c r="AU37" s="154"/>
      <c r="AV37" s="255"/>
      <c r="AW37" s="158" t="str">
        <f>IF(AV37="","",SUM($AV$6:AV37))</f>
        <v/>
      </c>
      <c r="AX37" s="154"/>
      <c r="AY37" s="154"/>
      <c r="AZ37" s="154"/>
      <c r="BA37" s="154"/>
    </row>
    <row r="38" spans="1:53" ht="13.9" customHeight="1" x14ac:dyDescent="0.25">
      <c r="A38" s="857"/>
      <c r="B38" s="1216"/>
      <c r="C38" s="842" t="str">
        <f>Sections!F33</f>
        <v>PLI Annual Premuim</v>
      </c>
      <c r="D38" s="855"/>
      <c r="E38" s="858"/>
      <c r="F38" s="858"/>
      <c r="G38" s="855"/>
      <c r="H38" s="855"/>
      <c r="I38" s="843">
        <f ca="1">IF($AH$38=2,0,Sections!H33)</f>
        <v>0</v>
      </c>
      <c r="J38" s="843">
        <f t="shared" ca="1" si="0"/>
        <v>0</v>
      </c>
      <c r="K38" s="1236"/>
      <c r="L38" s="565"/>
      <c r="M38" s="1262" t="s">
        <v>300</v>
      </c>
      <c r="N38" s="1263" t="s">
        <v>301</v>
      </c>
      <c r="O38" s="1264">
        <v>0.1</v>
      </c>
      <c r="P38" s="1265">
        <f ca="1">IF(AND(N29&gt;5000000,N29&lt;10000000),P35*O38,0)</f>
        <v>0</v>
      </c>
      <c r="Q38" s="154"/>
      <c r="R38" s="154"/>
      <c r="S38" s="154"/>
      <c r="T38" s="154"/>
      <c r="U38" s="154"/>
      <c r="W38" s="909"/>
      <c r="AG38" s="415"/>
      <c r="AH38" s="268">
        <f ca="1">IF(DATA!H49="Auto selection",IF(P44&lt;=P69,1,2),IF(DATA!$H$49="New Regime",2,1))</f>
        <v>2</v>
      </c>
      <c r="AI38" s="154"/>
      <c r="AJ38" s="154"/>
      <c r="AK38" s="154"/>
      <c r="AL38" s="154"/>
      <c r="AM38" s="154"/>
      <c r="AN38" s="154"/>
      <c r="AO38" s="154"/>
      <c r="AP38" s="154"/>
      <c r="AQ38" s="154"/>
      <c r="AR38" s="180">
        <f>SUM(AR29:AR37)</f>
        <v>37440</v>
      </c>
      <c r="AS38" s="180">
        <f>SUM(AS29:AS37)</f>
        <v>37440</v>
      </c>
      <c r="AT38" s="181"/>
      <c r="AU38" s="154"/>
      <c r="AV38" s="255"/>
      <c r="AW38" s="158" t="str">
        <f>IF(AV38="","",SUM($AV$6:AV38))</f>
        <v/>
      </c>
      <c r="AX38" s="154"/>
      <c r="AY38" s="154"/>
      <c r="AZ38" s="154"/>
      <c r="BA38" s="154"/>
    </row>
    <row r="39" spans="1:53" ht="13.9" customHeight="1" x14ac:dyDescent="0.25">
      <c r="A39" s="857"/>
      <c r="B39" s="1216"/>
      <c r="C39" s="842" t="str">
        <f>Sections!F34</f>
        <v>Any other deductable (u/s 80C)</v>
      </c>
      <c r="D39" s="855"/>
      <c r="E39" s="858"/>
      <c r="F39" s="858"/>
      <c r="G39" s="855"/>
      <c r="H39" s="855"/>
      <c r="I39" s="843">
        <f ca="1">IF($AH$38=2,0,Sections!H34)</f>
        <v>0</v>
      </c>
      <c r="J39" s="843">
        <f t="shared" ca="1" si="0"/>
        <v>0</v>
      </c>
      <c r="K39" s="1236"/>
      <c r="L39" s="565"/>
      <c r="M39" s="1262"/>
      <c r="N39" s="1263"/>
      <c r="O39" s="1264"/>
      <c r="P39" s="1265"/>
      <c r="Q39" s="154"/>
      <c r="R39" s="154"/>
      <c r="S39" s="154"/>
      <c r="T39" s="154"/>
      <c r="U39" s="154"/>
      <c r="W39" s="909"/>
      <c r="AG39" s="415"/>
      <c r="AH39" s="269" t="str">
        <f>DATA!M44</f>
        <v>Rent</v>
      </c>
      <c r="AI39" s="154"/>
      <c r="AJ39" s="154"/>
      <c r="AK39" s="154"/>
      <c r="AL39" s="154"/>
      <c r="AM39" s="154"/>
      <c r="AN39" s="154"/>
      <c r="AO39" s="154"/>
      <c r="AP39" s="154"/>
      <c r="AQ39" s="154"/>
      <c r="AR39" s="179">
        <f ca="1">Sections!H39</f>
        <v>120776</v>
      </c>
      <c r="AS39" s="244">
        <f ca="1">Sections!H39</f>
        <v>120776</v>
      </c>
      <c r="AT39" s="181"/>
      <c r="AU39" s="154"/>
      <c r="AV39" s="255"/>
      <c r="AW39" s="158" t="str">
        <f>IF(AV39="","",SUM($AV$6:AV39))</f>
        <v/>
      </c>
      <c r="AX39" s="154"/>
      <c r="AY39" s="154"/>
      <c r="AZ39" s="154"/>
      <c r="BA39" s="154"/>
    </row>
    <row r="40" spans="1:53" ht="13.9" customHeight="1" x14ac:dyDescent="0.25">
      <c r="A40" s="857"/>
      <c r="B40" s="1216"/>
      <c r="C40" s="837" t="s">
        <v>1091</v>
      </c>
      <c r="D40" s="837"/>
      <c r="E40" s="837"/>
      <c r="F40" s="837"/>
      <c r="G40" s="855"/>
      <c r="H40" s="855"/>
      <c r="I40" s="883">
        <f ca="1">SUM(I31:I39)</f>
        <v>0</v>
      </c>
      <c r="J40" s="843">
        <f ca="1">SUM(J31:J39)</f>
        <v>0</v>
      </c>
      <c r="K40" s="1236"/>
      <c r="L40" s="566"/>
      <c r="M40" s="1262" t="s">
        <v>300</v>
      </c>
      <c r="N40" s="1263" t="s">
        <v>302</v>
      </c>
      <c r="O40" s="1264">
        <v>0.15</v>
      </c>
      <c r="P40" s="1265">
        <f ca="1">IF(N29&gt;10000000,P35*O40,0)</f>
        <v>0</v>
      </c>
      <c r="Q40" s="154"/>
      <c r="R40" s="154"/>
      <c r="S40" s="154"/>
      <c r="T40" s="154"/>
      <c r="U40" s="154"/>
      <c r="W40" s="910"/>
      <c r="AG40" s="415"/>
      <c r="AH40" s="270">
        <f>IF(DATA!M44="Rent",2,1)</f>
        <v>2</v>
      </c>
      <c r="AI40" s="154"/>
      <c r="AJ40" s="154"/>
      <c r="AK40" s="154"/>
      <c r="AL40" s="154"/>
      <c r="AM40" s="154"/>
      <c r="AN40" s="154"/>
      <c r="AO40" s="154"/>
      <c r="AP40" s="154"/>
      <c r="AQ40" s="154"/>
      <c r="AR40" s="38">
        <f ca="1">AR38+AR39</f>
        <v>158216</v>
      </c>
      <c r="AS40" s="38">
        <f ca="1">MIN(150000,SUM(AS38+AS39))</f>
        <v>150000</v>
      </c>
      <c r="AT40" s="38">
        <f ca="1">MIN(150000,AS40)</f>
        <v>150000</v>
      </c>
      <c r="AU40" s="154"/>
      <c r="AV40" s="255"/>
      <c r="AW40" s="158" t="str">
        <f>IF(AV40="","",SUM($AV$6:AV40))</f>
        <v/>
      </c>
      <c r="AX40" s="154"/>
      <c r="AY40" s="154"/>
      <c r="AZ40" s="154"/>
      <c r="BA40" s="154"/>
    </row>
    <row r="41" spans="1:53" ht="13.9" customHeight="1" x14ac:dyDescent="0.25">
      <c r="A41" s="857"/>
      <c r="B41" s="1216"/>
      <c r="C41" s="855" t="str">
        <f>"Employee contribution to CPS(NPS)-u/s 80 CCD (1)"&amp;IF(DATA!M7="CPS","PRAN No:"&amp;DATA!E11&amp;"","")</f>
        <v>Employee contribution to CPS(NPS)-u/s 80 CCD (1)PRAN No:</v>
      </c>
      <c r="D41" s="855"/>
      <c r="E41" s="855"/>
      <c r="F41" s="855"/>
      <c r="G41" s="855"/>
      <c r="H41" s="855"/>
      <c r="I41" s="894">
        <f ca="1">IF($AH$38=2,0,Sections!H40)</f>
        <v>0</v>
      </c>
      <c r="J41" s="894">
        <f ca="1">IF($AH$38=2,0,Sections!H40)</f>
        <v>0</v>
      </c>
      <c r="K41" s="1236"/>
      <c r="L41" s="566"/>
      <c r="M41" s="1262"/>
      <c r="N41" s="1263"/>
      <c r="O41" s="1264"/>
      <c r="P41" s="1265"/>
      <c r="Q41" s="154"/>
      <c r="R41" s="154"/>
      <c r="S41" s="154"/>
      <c r="T41" s="154"/>
      <c r="U41" s="154"/>
      <c r="W41" s="910"/>
      <c r="AG41" s="415"/>
      <c r="AH41" s="154"/>
      <c r="AI41" s="154"/>
      <c r="AJ41" s="154"/>
      <c r="AK41" s="154"/>
      <c r="AL41" s="154"/>
      <c r="AM41" s="154"/>
      <c r="AN41" s="154"/>
      <c r="AO41" s="154"/>
      <c r="AP41" s="154"/>
      <c r="AQ41" s="154"/>
      <c r="AR41" s="38">
        <f ca="1">Sections!G42</f>
        <v>8216</v>
      </c>
      <c r="AS41" s="243">
        <f ca="1">Sections!H42</f>
        <v>8216</v>
      </c>
      <c r="AT41" s="38">
        <f ca="1">AS41</f>
        <v>8216</v>
      </c>
      <c r="AU41" s="154"/>
      <c r="AV41" s="255"/>
      <c r="AW41" s="158" t="str">
        <f>IF(AV41="","",SUM($AV$6:AV41))</f>
        <v/>
      </c>
      <c r="AX41" s="154"/>
      <c r="AY41" s="154"/>
      <c r="AZ41" s="154"/>
      <c r="BA41" s="154"/>
    </row>
    <row r="42" spans="1:53" ht="13.9" customHeight="1" x14ac:dyDescent="0.25">
      <c r="A42" s="852"/>
      <c r="B42" s="838" t="s">
        <v>1076</v>
      </c>
      <c r="C42" s="837" t="s">
        <v>459</v>
      </c>
      <c r="D42" s="855"/>
      <c r="E42" s="855"/>
      <c r="F42" s="837"/>
      <c r="G42" s="855"/>
      <c r="H42" s="855"/>
      <c r="I42" s="843">
        <f ca="1">IF($AH$38=2,0,Sections!G42)</f>
        <v>0</v>
      </c>
      <c r="J42" s="843">
        <f ca="1">IF($AH$38=2,0,Sections!H42)</f>
        <v>0</v>
      </c>
      <c r="K42" s="843">
        <f ca="1">J42</f>
        <v>0</v>
      </c>
      <c r="L42" s="566"/>
      <c r="M42" s="1250" t="s">
        <v>729</v>
      </c>
      <c r="N42" s="1250"/>
      <c r="O42" s="1250"/>
      <c r="P42" s="577">
        <f ca="1">SUM(P37:P41)</f>
        <v>138393</v>
      </c>
      <c r="Q42" s="154"/>
      <c r="R42" s="154"/>
      <c r="S42" s="154"/>
      <c r="T42" s="154"/>
      <c r="U42" s="154"/>
      <c r="W42" s="910"/>
      <c r="AG42" s="415" t="s">
        <v>467</v>
      </c>
      <c r="AH42" s="154"/>
      <c r="AI42" s="154"/>
      <c r="AJ42" s="154"/>
      <c r="AK42" s="154"/>
      <c r="AL42" s="154"/>
      <c r="AM42" s="154"/>
      <c r="AN42" s="154"/>
      <c r="AO42" s="154"/>
      <c r="AP42" s="154"/>
      <c r="AQ42" s="154"/>
      <c r="AR42" s="38"/>
      <c r="AS42" s="243"/>
      <c r="AT42" s="38"/>
      <c r="AU42" s="154"/>
      <c r="AV42" s="255"/>
      <c r="AW42" s="158" t="str">
        <f>IF(AV42="","",SUM($AV$6:AV42))</f>
        <v/>
      </c>
      <c r="AX42" s="154"/>
      <c r="AY42" s="154"/>
      <c r="AZ42" s="154"/>
      <c r="BA42" s="154"/>
    </row>
    <row r="43" spans="1:53" ht="13.9" customHeight="1" x14ac:dyDescent="0.25">
      <c r="A43" s="852"/>
      <c r="B43" s="1298" t="s">
        <v>1075</v>
      </c>
      <c r="C43" s="837" t="s">
        <v>1080</v>
      </c>
      <c r="D43" s="855"/>
      <c r="E43" s="855"/>
      <c r="F43" s="837"/>
      <c r="G43" s="855"/>
      <c r="H43" s="855"/>
      <c r="I43" s="843"/>
      <c r="J43" s="843"/>
      <c r="K43" s="1297">
        <f ca="1">SUM(J44:J51)</f>
        <v>120776</v>
      </c>
      <c r="L43" s="566"/>
      <c r="M43" s="1241" t="s">
        <v>730</v>
      </c>
      <c r="N43" s="1241"/>
      <c r="O43" s="1241"/>
      <c r="P43" s="153">
        <f ca="1">ROUND(P42*4%,0.1)</f>
        <v>5536</v>
      </c>
      <c r="Q43" s="154"/>
      <c r="R43" s="154"/>
      <c r="S43" s="154"/>
      <c r="T43" s="154"/>
      <c r="U43" s="154"/>
      <c r="W43" s="910"/>
      <c r="AG43" s="369">
        <f ca="1">AH38</f>
        <v>2</v>
      </c>
      <c r="AH43" s="154"/>
      <c r="AI43" s="154"/>
      <c r="AJ43" s="154"/>
      <c r="AK43" s="154"/>
      <c r="AL43" s="154"/>
      <c r="AM43" s="154"/>
      <c r="AN43" s="154"/>
      <c r="AO43" s="154"/>
      <c r="AP43" s="154"/>
      <c r="AQ43" s="154"/>
      <c r="AR43" s="38">
        <f>'Statement(edit)'!X29</f>
        <v>120</v>
      </c>
      <c r="AS43" s="243">
        <f>AR43</f>
        <v>120</v>
      </c>
      <c r="AT43" s="38">
        <f>AS43</f>
        <v>120</v>
      </c>
      <c r="AU43" s="154"/>
      <c r="AV43" s="255"/>
      <c r="AW43" s="158" t="str">
        <f>IF(AV43="","",SUM($AV$6:AV43))</f>
        <v/>
      </c>
      <c r="AX43" s="154"/>
      <c r="AY43" s="154"/>
      <c r="AZ43" s="154"/>
      <c r="BA43" s="154"/>
    </row>
    <row r="44" spans="1:53" ht="13.9" customHeight="1" x14ac:dyDescent="0.25">
      <c r="A44" s="852"/>
      <c r="B44" s="1298"/>
      <c r="C44" s="842" t="s">
        <v>638</v>
      </c>
      <c r="D44" s="855"/>
      <c r="E44" s="855"/>
      <c r="F44" s="842"/>
      <c r="G44" s="855"/>
      <c r="H44" s="855"/>
      <c r="I44" s="843">
        <f ca="1">IF($AH$38=2,0,'Statement(edit)'!X29)</f>
        <v>0</v>
      </c>
      <c r="J44" s="843">
        <f ca="1">I44</f>
        <v>0</v>
      </c>
      <c r="K44" s="1236"/>
      <c r="L44" s="566"/>
      <c r="M44" s="1242" t="s">
        <v>732</v>
      </c>
      <c r="N44" s="1242"/>
      <c r="O44" s="1242"/>
      <c r="P44" s="554">
        <f ca="1">SUM(P42:P43)</f>
        <v>143929</v>
      </c>
      <c r="Q44" s="154"/>
      <c r="R44" s="154"/>
      <c r="S44" s="154"/>
      <c r="T44" s="154"/>
      <c r="U44" s="154"/>
      <c r="W44" s="910"/>
      <c r="AG44" s="270"/>
      <c r="AH44" s="255" t="s">
        <v>316</v>
      </c>
      <c r="AI44" s="708">
        <f>IFERROR(IF(AL50=DATA!E3,3,IF(DATA!E3=ANNEXURE!AL49,2,1)),1)</f>
        <v>1</v>
      </c>
      <c r="AJ44" s="255"/>
      <c r="AK44" s="154"/>
      <c r="AL44" s="154"/>
      <c r="AM44" s="154"/>
      <c r="AN44" s="154"/>
      <c r="AO44" s="154"/>
      <c r="AP44" s="154"/>
      <c r="AQ44" s="154"/>
      <c r="AR44" s="38">
        <f>Sections!R36</f>
        <v>0</v>
      </c>
      <c r="AS44" s="243">
        <f>Sections!S36</f>
        <v>0</v>
      </c>
      <c r="AT44" s="38">
        <f t="shared" ref="AT44:AT50" si="2">AS44</f>
        <v>0</v>
      </c>
      <c r="AU44" s="154"/>
      <c r="AV44" s="255"/>
      <c r="AW44" s="158" t="str">
        <f>IF(AV44="","",SUM($AV$6:AV44))</f>
        <v/>
      </c>
      <c r="AX44" s="154"/>
      <c r="AY44" s="154"/>
      <c r="AZ44" s="154"/>
      <c r="BA44" s="154"/>
    </row>
    <row r="45" spans="1:53" ht="13.9" customHeight="1" x14ac:dyDescent="0.25">
      <c r="A45" s="852"/>
      <c r="B45" s="1298"/>
      <c r="C45" s="859" t="str">
        <f>Sections!P36</f>
        <v>80E-Interest on Educational Loan</v>
      </c>
      <c r="D45" s="855"/>
      <c r="E45" s="855"/>
      <c r="F45" s="842"/>
      <c r="G45" s="855"/>
      <c r="H45" s="855"/>
      <c r="I45" s="843">
        <f ca="1">IF(AND($AH$38=2,NOT(Sections!O36=26)),0,Sections!R36)</f>
        <v>0</v>
      </c>
      <c r="J45" s="843">
        <f ca="1">IF(AND($AH$38=2,NOT(Sections!O36=26)),0,Sections!S36)</f>
        <v>0</v>
      </c>
      <c r="K45" s="1236"/>
      <c r="L45" s="566"/>
      <c r="M45" s="33"/>
      <c r="N45" s="33"/>
      <c r="O45" s="33"/>
      <c r="P45" s="33"/>
      <c r="Q45" s="154"/>
      <c r="R45" s="154"/>
      <c r="S45" s="154"/>
      <c r="T45" s="154"/>
      <c r="U45" s="154"/>
      <c r="W45" s="910"/>
      <c r="AG45" s="270"/>
      <c r="AH45" s="574" t="str">
        <f>A3</f>
        <v>2025-2026</v>
      </c>
      <c r="AI45" s="255">
        <f>MAX(IF(P30=AH47,AJ47,0),IF(P30=AH48,AJ48,0),IF(P30=AH49,AJ49,0),IF(P30=AH50,AJ50,0))</f>
        <v>0</v>
      </c>
      <c r="AJ45" s="255"/>
      <c r="AK45" s="154"/>
      <c r="AL45" s="154"/>
      <c r="AM45" s="154"/>
      <c r="AN45" s="154"/>
      <c r="AO45" s="154"/>
      <c r="AP45" s="154"/>
      <c r="AQ45" s="154"/>
      <c r="AR45" s="38">
        <f>Sections!R37</f>
        <v>0</v>
      </c>
      <c r="AS45" s="243">
        <f>Sections!S37</f>
        <v>0</v>
      </c>
      <c r="AT45" s="38">
        <f t="shared" si="2"/>
        <v>0</v>
      </c>
      <c r="AU45" s="154"/>
      <c r="AV45" s="256"/>
      <c r="AW45" s="158" t="str">
        <f>IF(AV45="","",SUM($AV$6:AV45))</f>
        <v/>
      </c>
      <c r="AX45" s="154"/>
      <c r="AY45" s="154"/>
      <c r="AZ45" s="154"/>
      <c r="BA45" s="154"/>
    </row>
    <row r="46" spans="1:53" ht="13.9" customHeight="1" x14ac:dyDescent="0.25">
      <c r="A46" s="852"/>
      <c r="B46" s="1298"/>
      <c r="C46" s="859" t="str">
        <f>Sections!P37</f>
        <v>80DD-Treatment of Handicapped Dependent-above 80%disability</v>
      </c>
      <c r="D46" s="855"/>
      <c r="E46" s="855"/>
      <c r="F46" s="842"/>
      <c r="G46" s="855"/>
      <c r="H46" s="855"/>
      <c r="I46" s="843">
        <f ca="1">IF(AND($AH$38=2,NOT(Sections!O37=26)),0,Sections!R37)</f>
        <v>0</v>
      </c>
      <c r="J46" s="843">
        <f ca="1">IF(AND($AH$38=2,NOT(Sections!O37=26)),0,Sections!S37)</f>
        <v>0</v>
      </c>
      <c r="K46" s="1236"/>
      <c r="L46" s="566"/>
      <c r="M46" s="576" t="s">
        <v>545</v>
      </c>
      <c r="N46" s="373">
        <f ca="1">AV53</f>
        <v>1222040</v>
      </c>
      <c r="O46" s="489"/>
      <c r="P46" s="489"/>
      <c r="Q46" s="154"/>
      <c r="R46" s="154"/>
      <c r="S46" s="154"/>
      <c r="T46" s="154"/>
      <c r="U46" s="154"/>
      <c r="W46" s="910"/>
      <c r="AG46" s="270"/>
      <c r="AH46" s="255" t="s">
        <v>317</v>
      </c>
      <c r="AI46" s="255" t="s">
        <v>318</v>
      </c>
      <c r="AJ46" s="255" t="s">
        <v>319</v>
      </c>
      <c r="AK46" s="154"/>
      <c r="AL46" s="154"/>
      <c r="AM46" s="154"/>
      <c r="AN46" s="154"/>
      <c r="AO46" s="154"/>
      <c r="AP46" s="154"/>
      <c r="AQ46" s="154"/>
      <c r="AR46" s="38">
        <f>Sections!R38</f>
        <v>0</v>
      </c>
      <c r="AS46" s="243">
        <f>Sections!S38</f>
        <v>0</v>
      </c>
      <c r="AT46" s="38">
        <f t="shared" si="2"/>
        <v>0</v>
      </c>
      <c r="AU46" s="154"/>
      <c r="AV46" s="256"/>
      <c r="AW46" s="158" t="str">
        <f>IF(AV46="","",SUM($AV$6:AV46))</f>
        <v/>
      </c>
      <c r="AX46" s="154"/>
      <c r="AY46" s="154"/>
      <c r="AZ46" s="154"/>
      <c r="BA46" s="154"/>
    </row>
    <row r="47" spans="1:53" ht="13.9" customHeight="1" x14ac:dyDescent="0.25">
      <c r="A47" s="852"/>
      <c r="B47" s="1298"/>
      <c r="C47" s="859" t="str">
        <f>Sections!P38</f>
        <v>80D-Medical Insurance Premium-senior citizen dependent parents</v>
      </c>
      <c r="D47" s="855"/>
      <c r="E47" s="855"/>
      <c r="F47" s="842"/>
      <c r="G47" s="855"/>
      <c r="H47" s="855"/>
      <c r="I47" s="843">
        <f ca="1">IF(AND($AH$38=2,NOT(Sections!O38=26)),0,Sections!R38)</f>
        <v>0</v>
      </c>
      <c r="J47" s="843">
        <f ca="1">IF(AND($AH$38=2,NOT(Sections!O38=26)),0,Sections!S38)</f>
        <v>0</v>
      </c>
      <c r="K47" s="1236"/>
      <c r="L47" s="566"/>
      <c r="M47" s="711" t="s">
        <v>1010</v>
      </c>
      <c r="N47" s="364" t="s">
        <v>305</v>
      </c>
      <c r="O47" s="364" t="s">
        <v>309</v>
      </c>
      <c r="P47" s="710" t="s">
        <v>307</v>
      </c>
      <c r="Q47" s="154"/>
      <c r="R47" s="154"/>
      <c r="S47" s="154"/>
      <c r="T47" s="154"/>
      <c r="U47" s="154"/>
      <c r="W47" s="910"/>
      <c r="AG47" s="270">
        <v>1</v>
      </c>
      <c r="AH47" s="255" t="s">
        <v>320</v>
      </c>
      <c r="AI47" s="255" t="s">
        <v>321</v>
      </c>
      <c r="AJ47" s="255">
        <v>250000</v>
      </c>
      <c r="AK47" s="154"/>
      <c r="AL47" s="154"/>
      <c r="AM47" s="154"/>
      <c r="AN47" s="154"/>
      <c r="AO47" s="154"/>
      <c r="AP47" s="154"/>
      <c r="AQ47" s="154"/>
      <c r="AR47" s="38">
        <f>Sections!R39</f>
        <v>0</v>
      </c>
      <c r="AS47" s="243">
        <f>Sections!S39</f>
        <v>0</v>
      </c>
      <c r="AT47" s="38">
        <f t="shared" si="2"/>
        <v>0</v>
      </c>
      <c r="AU47" s="154"/>
      <c r="AV47" s="256"/>
      <c r="AW47" s="158" t="str">
        <f>IF(AV47="","",SUM($AV$6:AV47))</f>
        <v/>
      </c>
      <c r="AX47" s="154"/>
      <c r="AY47" s="154"/>
      <c r="AZ47" s="154"/>
      <c r="BA47" s="154"/>
    </row>
    <row r="48" spans="1:53" ht="13.9" customHeight="1" x14ac:dyDescent="0.25">
      <c r="A48" s="852"/>
      <c r="B48" s="1298"/>
      <c r="C48" s="859" t="str">
        <f>Sections!P39</f>
        <v>80TTA-Interest on Savings account</v>
      </c>
      <c r="D48" s="855"/>
      <c r="E48" s="855"/>
      <c r="F48" s="842"/>
      <c r="G48" s="855"/>
      <c r="H48" s="855"/>
      <c r="I48" s="843">
        <f ca="1">IF(AND($AH$38=2,NOT(Sections!O39=26)),0,Sections!R39)</f>
        <v>0</v>
      </c>
      <c r="J48" s="843">
        <f ca="1">IF(AND($AH$38=2,NOT(Sections!O39=26)),0,Sections!S39)</f>
        <v>0</v>
      </c>
      <c r="K48" s="1236"/>
      <c r="L48" s="566"/>
      <c r="M48" s="255">
        <v>400000</v>
      </c>
      <c r="N48" s="255">
        <f ca="1">IF(N46&lt;=M48,N46-0,M48)</f>
        <v>400000</v>
      </c>
      <c r="O48" s="259">
        <v>0</v>
      </c>
      <c r="P48" s="255">
        <f t="shared" ref="P48:P52" ca="1" si="3">ROUND(N48*O48,0)</f>
        <v>0</v>
      </c>
      <c r="Q48" s="154"/>
      <c r="R48" s="154"/>
      <c r="S48" s="154"/>
      <c r="T48" s="154"/>
      <c r="U48" s="154"/>
      <c r="W48" s="910"/>
      <c r="AG48" s="270">
        <v>1</v>
      </c>
      <c r="AH48" s="255" t="s">
        <v>322</v>
      </c>
      <c r="AI48" s="255" t="s">
        <v>321</v>
      </c>
      <c r="AJ48" s="255">
        <v>250000</v>
      </c>
      <c r="AK48" s="154" t="s">
        <v>464</v>
      </c>
      <c r="AL48" s="707" t="s">
        <v>466</v>
      </c>
      <c r="AM48" s="154"/>
      <c r="AN48" s="154"/>
      <c r="AO48" s="154"/>
      <c r="AP48" s="154"/>
      <c r="AQ48" s="154"/>
      <c r="AR48" s="38">
        <f>Sections!R40</f>
        <v>0</v>
      </c>
      <c r="AS48" s="243">
        <f>Sections!S40</f>
        <v>0</v>
      </c>
      <c r="AT48" s="38">
        <f t="shared" si="2"/>
        <v>0</v>
      </c>
      <c r="AU48" s="154"/>
      <c r="AV48" s="256"/>
      <c r="AW48" s="158" t="str">
        <f>IF(AV48="","",SUM($AV$6:AV48))</f>
        <v/>
      </c>
      <c r="AX48" s="154"/>
      <c r="AY48" s="154"/>
      <c r="AZ48" s="154"/>
      <c r="BA48" s="154"/>
    </row>
    <row r="49" spans="1:53" ht="13.9" customHeight="1" x14ac:dyDescent="0.25">
      <c r="A49" s="852"/>
      <c r="B49" s="1298"/>
      <c r="C49" s="859" t="str">
        <f>Sections!P40</f>
        <v>80D-Medical Insurance Premium-Self ,Spouse &amp; Children</v>
      </c>
      <c r="D49" s="855"/>
      <c r="E49" s="855"/>
      <c r="F49" s="842"/>
      <c r="G49" s="855"/>
      <c r="H49" s="855"/>
      <c r="I49" s="843">
        <f ca="1">IF(AND($AH$38=2,NOT(Sections!O40=26)),0,Sections!R40)</f>
        <v>0</v>
      </c>
      <c r="J49" s="843">
        <f ca="1">IF(AND($AH$38=2,NOT(Sections!O40=26)),0,Sections!S40)</f>
        <v>0</v>
      </c>
      <c r="K49" s="1236"/>
      <c r="L49" s="566"/>
      <c r="M49" s="255">
        <v>800000</v>
      </c>
      <c r="N49" s="155">
        <f t="shared" ref="N49:N54" ca="1" si="4">MAX(IF($N$46&lt;=M49,$N$46-M48,M49-M48),IF($N$46&gt;M48,,0))</f>
        <v>400000</v>
      </c>
      <c r="O49" s="259">
        <v>0.05</v>
      </c>
      <c r="P49" s="255">
        <f t="shared" ca="1" si="3"/>
        <v>20000</v>
      </c>
      <c r="Q49" s="154"/>
      <c r="R49" s="154"/>
      <c r="S49" s="154"/>
      <c r="T49" s="154"/>
      <c r="U49" s="154"/>
      <c r="W49" s="910"/>
      <c r="AG49" s="270">
        <v>2</v>
      </c>
      <c r="AH49" s="255" t="s">
        <v>323</v>
      </c>
      <c r="AI49" s="255">
        <v>60</v>
      </c>
      <c r="AJ49" s="255">
        <v>300000</v>
      </c>
      <c r="AK49" s="154" t="s">
        <v>465</v>
      </c>
      <c r="AL49" s="707" t="str">
        <f>AH49</f>
        <v>Senior Citizens</v>
      </c>
      <c r="AM49" s="154"/>
      <c r="AN49" s="154"/>
      <c r="AO49" s="154"/>
      <c r="AP49" s="154"/>
      <c r="AQ49" s="154"/>
      <c r="AR49" s="38">
        <f ca="1">Sections!R41</f>
        <v>120776</v>
      </c>
      <c r="AS49" s="243">
        <f ca="1">Sections!S41</f>
        <v>120776</v>
      </c>
      <c r="AT49" s="38">
        <f t="shared" ca="1" si="2"/>
        <v>120776</v>
      </c>
      <c r="AU49" s="154"/>
      <c r="AV49" s="256"/>
      <c r="AW49" s="158" t="str">
        <f>IF(AV49="","",SUM($AV$6:AV49))</f>
        <v/>
      </c>
      <c r="AX49" s="154"/>
      <c r="AY49" s="154"/>
      <c r="AZ49" s="154"/>
      <c r="BA49" s="154"/>
    </row>
    <row r="50" spans="1:53" ht="13.9" customHeight="1" x14ac:dyDescent="0.25">
      <c r="A50" s="852"/>
      <c r="B50" s="1298"/>
      <c r="C50" s="859" t="str">
        <f>Sections!P41</f>
        <v>Employer  Contribution towards NPS 80CCD(2)</v>
      </c>
      <c r="D50" s="855"/>
      <c r="E50" s="855"/>
      <c r="F50" s="842"/>
      <c r="G50" s="855"/>
      <c r="H50" s="855"/>
      <c r="I50" s="843">
        <f ca="1">IF(AND($AH$38=2,NOT(Sections!O41=26)),0,Sections!R41)</f>
        <v>120776</v>
      </c>
      <c r="J50" s="843">
        <f ca="1">IF(AND($AH$38=2,NOT(Sections!O41=26)),0,Sections!S41)</f>
        <v>120776</v>
      </c>
      <c r="K50" s="1236"/>
      <c r="L50" s="566"/>
      <c r="M50" s="255">
        <v>1200000</v>
      </c>
      <c r="N50" s="155">
        <f t="shared" ca="1" si="4"/>
        <v>400000</v>
      </c>
      <c r="O50" s="259">
        <v>0.1</v>
      </c>
      <c r="P50" s="255">
        <f t="shared" ca="1" si="3"/>
        <v>40000</v>
      </c>
      <c r="Q50" s="154"/>
      <c r="R50" s="154"/>
      <c r="S50" s="154"/>
      <c r="T50" s="154"/>
      <c r="U50" s="154"/>
      <c r="W50" s="910"/>
      <c r="AG50" s="270">
        <v>3</v>
      </c>
      <c r="AH50" s="255" t="s">
        <v>324</v>
      </c>
      <c r="AI50" s="255">
        <v>80</v>
      </c>
      <c r="AJ50" s="255">
        <v>500000</v>
      </c>
      <c r="AK50" s="154"/>
      <c r="AL50" s="707" t="str">
        <f>AH50</f>
        <v>Very Senior Citizens</v>
      </c>
      <c r="AM50" s="154"/>
      <c r="AN50" s="154"/>
      <c r="AO50" s="154"/>
      <c r="AP50" s="154"/>
      <c r="AQ50" s="154"/>
      <c r="AR50" s="38" t="str">
        <f>Sections!R42</f>
        <v/>
      </c>
      <c r="AS50" s="243" t="str">
        <f>Sections!S42</f>
        <v/>
      </c>
      <c r="AT50" s="38" t="str">
        <f t="shared" si="2"/>
        <v/>
      </c>
      <c r="AU50" s="154"/>
      <c r="AV50" s="256"/>
      <c r="AW50" s="158" t="str">
        <f>IF(AV50="","",SUM($AV$6:AV50))</f>
        <v/>
      </c>
      <c r="AX50" s="154"/>
      <c r="AY50" s="154"/>
      <c r="AZ50" s="154"/>
      <c r="BA50" s="154"/>
    </row>
    <row r="51" spans="1:53" ht="12.6" customHeight="1" x14ac:dyDescent="0.25">
      <c r="A51" s="852"/>
      <c r="B51" s="1298"/>
      <c r="C51" s="886" t="str">
        <f>Sections!P42</f>
        <v/>
      </c>
      <c r="D51" s="978"/>
      <c r="E51" s="978"/>
      <c r="F51" s="978"/>
      <c r="G51" s="978"/>
      <c r="H51" s="978"/>
      <c r="I51" s="895">
        <f ca="1">IF(AND($AH$38=2,NOT(Sections!O42=26)),0,Sections!R42)</f>
        <v>0</v>
      </c>
      <c r="J51" s="895">
        <f ca="1">IF(AND($AH$38=2,NOT(Sections!O42=26)),0,Sections!S42)</f>
        <v>0</v>
      </c>
      <c r="K51" s="1236"/>
      <c r="L51" s="566"/>
      <c r="M51" s="914">
        <v>1600000</v>
      </c>
      <c r="N51" s="915">
        <f t="shared" ca="1" si="4"/>
        <v>22040</v>
      </c>
      <c r="O51" s="916">
        <v>0.15</v>
      </c>
      <c r="P51" s="914">
        <f t="shared" ca="1" si="3"/>
        <v>3306</v>
      </c>
      <c r="Q51" s="154"/>
      <c r="R51" s="154"/>
      <c r="S51" s="154"/>
      <c r="T51" s="154"/>
      <c r="U51" s="154"/>
      <c r="W51" s="910"/>
      <c r="AG51" s="415"/>
      <c r="AH51" s="154"/>
      <c r="AI51" s="154"/>
      <c r="AJ51" s="154"/>
      <c r="AK51" s="154"/>
      <c r="AL51" s="154"/>
      <c r="AM51" s="154"/>
      <c r="AN51" s="154"/>
      <c r="AO51" s="154"/>
      <c r="AP51" s="154"/>
      <c r="AQ51" s="154"/>
      <c r="AR51" s="38">
        <f ca="1">SUM(AR43:AR50)</f>
        <v>120896</v>
      </c>
      <c r="AS51" s="38">
        <f t="shared" ref="AS51:AT51" ca="1" si="5">SUM(AS43:AS50)</f>
        <v>120896</v>
      </c>
      <c r="AT51" s="38">
        <f t="shared" ca="1" si="5"/>
        <v>120896</v>
      </c>
      <c r="AU51" s="154"/>
      <c r="AV51" s="256">
        <f ca="1">-Sections!H38</f>
        <v>-120776</v>
      </c>
      <c r="AW51" s="158">
        <f ca="1">IF(AV51="","",SUM($AV$6:AV51))</f>
        <v>1222042</v>
      </c>
      <c r="AX51" s="154"/>
      <c r="AY51" s="154"/>
      <c r="AZ51" s="154"/>
      <c r="BA51" s="154"/>
    </row>
    <row r="52" spans="1:53" ht="13.9" customHeight="1" x14ac:dyDescent="0.25">
      <c r="A52" s="852"/>
      <c r="B52" s="1298"/>
      <c r="C52" s="837" t="s">
        <v>188</v>
      </c>
      <c r="D52" s="860"/>
      <c r="E52" s="860"/>
      <c r="F52" s="860"/>
      <c r="G52" s="855"/>
      <c r="H52" s="855"/>
      <c r="I52" s="843">
        <f ca="1">SUM(I44:I51)</f>
        <v>120776</v>
      </c>
      <c r="J52" s="843">
        <f ca="1">SUM(J44:J51)</f>
        <v>120776</v>
      </c>
      <c r="K52" s="1237"/>
      <c r="L52" s="566"/>
      <c r="M52" s="255">
        <v>2000000</v>
      </c>
      <c r="N52" s="155">
        <f t="shared" ca="1" si="4"/>
        <v>0</v>
      </c>
      <c r="O52" s="259">
        <v>0.2</v>
      </c>
      <c r="P52" s="255">
        <f t="shared" ca="1" si="3"/>
        <v>0</v>
      </c>
      <c r="Q52" s="154"/>
      <c r="R52" s="154"/>
      <c r="S52" s="154"/>
      <c r="T52" s="154"/>
      <c r="U52" s="154"/>
      <c r="W52" s="910"/>
      <c r="AG52" s="415"/>
      <c r="AH52" s="154"/>
      <c r="AI52" s="154"/>
      <c r="AJ52" s="154"/>
      <c r="AK52" s="154"/>
      <c r="AL52" s="154"/>
      <c r="AM52" s="154"/>
      <c r="AN52" s="154"/>
      <c r="AO52" s="154"/>
      <c r="AP52" s="154"/>
      <c r="AQ52" s="154"/>
      <c r="AR52" s="247"/>
      <c r="AS52" s="39"/>
      <c r="AT52" s="38">
        <f ca="1">SUM(AT40:AT41,AT51)</f>
        <v>279112</v>
      </c>
      <c r="AU52" s="154"/>
      <c r="AV52" s="255"/>
      <c r="AW52" s="158"/>
      <c r="AX52" s="154"/>
      <c r="AY52" s="154"/>
      <c r="AZ52" s="154"/>
      <c r="BA52" s="154"/>
    </row>
    <row r="53" spans="1:53" ht="15.6" customHeight="1" x14ac:dyDescent="0.25">
      <c r="A53" s="861">
        <v>9</v>
      </c>
      <c r="B53" s="838" t="s">
        <v>1081</v>
      </c>
      <c r="C53" s="839"/>
      <c r="D53" s="840"/>
      <c r="E53" s="842"/>
      <c r="F53" s="837"/>
      <c r="G53" s="855"/>
      <c r="H53" s="855"/>
      <c r="I53" s="837"/>
      <c r="J53" s="830"/>
      <c r="K53" s="843">
        <f ca="1">SUM(K31+K42+K43)</f>
        <v>120776</v>
      </c>
      <c r="L53" s="567"/>
      <c r="M53" s="255">
        <v>2400000</v>
      </c>
      <c r="N53" s="155">
        <f t="shared" ca="1" si="4"/>
        <v>0</v>
      </c>
      <c r="O53" s="259">
        <v>0.25</v>
      </c>
      <c r="P53" s="255">
        <f t="shared" ref="P53" ca="1" si="6">ROUND(N53*O53,0)</f>
        <v>0</v>
      </c>
      <c r="T53" s="154"/>
      <c r="W53" s="911"/>
      <c r="AG53" s="415"/>
      <c r="AH53" s="154"/>
      <c r="AI53" s="154"/>
      <c r="AJ53" s="154"/>
      <c r="AK53" s="154"/>
      <c r="AL53" s="154"/>
      <c r="AM53" s="154"/>
      <c r="AN53" s="154"/>
      <c r="AO53" s="154"/>
      <c r="AP53" s="154"/>
      <c r="AQ53" s="154"/>
      <c r="AT53" s="148">
        <f ca="1">ROUND(AT27-AT52,-1)</f>
        <v>1086310</v>
      </c>
      <c r="AU53" s="154"/>
      <c r="AV53" s="256">
        <f ca="1">ROUND(SUM(AV6:AV51),-1)</f>
        <v>1222040</v>
      </c>
      <c r="AW53" s="154" t="s">
        <v>105</v>
      </c>
      <c r="AX53" s="154"/>
      <c r="AY53" s="154"/>
      <c r="AZ53" s="154"/>
      <c r="BA53" s="154"/>
    </row>
    <row r="54" spans="1:53" ht="15.6" customHeight="1" x14ac:dyDescent="0.25">
      <c r="A54" s="862">
        <v>10</v>
      </c>
      <c r="B54" s="829" t="s">
        <v>1083</v>
      </c>
      <c r="C54" s="837"/>
      <c r="D54" s="837"/>
      <c r="E54" s="837"/>
      <c r="F54" s="837"/>
      <c r="G54" s="855"/>
      <c r="H54" s="855"/>
      <c r="I54" s="837"/>
      <c r="J54" s="828"/>
      <c r="K54" s="830">
        <f ca="1">ROUND(K29-K53,-1)</f>
        <v>1222040</v>
      </c>
      <c r="L54" s="33"/>
      <c r="M54" s="260" t="s">
        <v>1055</v>
      </c>
      <c r="N54" s="155">
        <f t="shared" ca="1" si="4"/>
        <v>0</v>
      </c>
      <c r="O54" s="259">
        <v>0.3</v>
      </c>
      <c r="P54" s="255">
        <f ca="1">ROUND(N54*O54,0)</f>
        <v>0</v>
      </c>
      <c r="T54" s="154"/>
      <c r="AG54" s="415"/>
      <c r="AH54" s="154"/>
      <c r="AI54" s="154"/>
      <c r="AJ54" s="154"/>
      <c r="AK54" s="154"/>
      <c r="AL54" s="154"/>
      <c r="AM54" s="154"/>
      <c r="AN54" s="154"/>
      <c r="AO54" s="154"/>
      <c r="AP54" s="154"/>
      <c r="AQ54" s="154"/>
      <c r="AR54" s="154"/>
      <c r="AS54" s="154"/>
      <c r="AT54" s="154"/>
      <c r="AU54" s="154"/>
      <c r="AV54" s="154"/>
      <c r="AW54" s="154"/>
      <c r="AX54" s="154"/>
      <c r="AY54" s="154"/>
      <c r="AZ54" s="154"/>
      <c r="BA54" s="154"/>
    </row>
    <row r="55" spans="1:53" ht="15" customHeight="1" x14ac:dyDescent="0.25">
      <c r="A55" s="1299">
        <v>11</v>
      </c>
      <c r="B55" s="931" t="s">
        <v>303</v>
      </c>
      <c r="C55" s="855"/>
      <c r="D55" s="855"/>
      <c r="E55" s="855"/>
      <c r="F55" s="855"/>
      <c r="G55" s="855"/>
      <c r="H55" s="855"/>
      <c r="I55" s="972"/>
      <c r="J55" s="828"/>
      <c r="K55" s="1217">
        <f ca="1">IF($AH$38=2,P55,P35)</f>
        <v>63306</v>
      </c>
      <c r="L55" s="33"/>
      <c r="M55" s="1243" t="s">
        <v>299</v>
      </c>
      <c r="N55" s="1244"/>
      <c r="O55" s="1245"/>
      <c r="P55" s="807">
        <f ca="1">ROUND(SUM(P48:P54),0)</f>
        <v>63306</v>
      </c>
      <c r="T55" s="154"/>
      <c r="AJ55" s="154"/>
      <c r="AK55" s="154"/>
      <c r="AL55" s="154"/>
      <c r="AM55" s="154"/>
      <c r="AN55" s="154"/>
      <c r="AO55" s="154"/>
      <c r="AP55" s="154"/>
      <c r="AQ55" s="154"/>
      <c r="AR55" s="154"/>
      <c r="AS55" s="154" t="s">
        <v>530</v>
      </c>
      <c r="AT55" s="154">
        <f ca="1">IF(N29&lt;250001,0,IF(N29&gt;500000,0,IF(P35&lt;=12500,P35,12500)))</f>
        <v>0</v>
      </c>
      <c r="AU55" s="154"/>
      <c r="AV55" s="154">
        <f ca="1">IF(N46&gt;1200000,MAX(P55-N46+1200000,0),MIN(P55,60000))</f>
        <v>41266</v>
      </c>
      <c r="AW55" s="154"/>
      <c r="AX55" s="154"/>
      <c r="AY55" s="154"/>
      <c r="AZ55" s="154"/>
      <c r="BA55" s="154"/>
    </row>
    <row r="56" spans="1:53" ht="13.9" customHeight="1" x14ac:dyDescent="0.25">
      <c r="A56" s="1300"/>
      <c r="B56" s="1295" t="s">
        <v>304</v>
      </c>
      <c r="C56" s="1296"/>
      <c r="D56" s="863" t="s">
        <v>305</v>
      </c>
      <c r="E56" s="864" t="s">
        <v>306</v>
      </c>
      <c r="F56" s="864" t="s">
        <v>1090</v>
      </c>
      <c r="G56" s="928" t="s">
        <v>304</v>
      </c>
      <c r="H56" s="929" t="s">
        <v>305</v>
      </c>
      <c r="I56" s="929" t="s">
        <v>306</v>
      </c>
      <c r="J56" s="930" t="s">
        <v>1089</v>
      </c>
      <c r="K56" s="1217"/>
      <c r="L56" s="33"/>
      <c r="M56" s="1248" t="s">
        <v>1056</v>
      </c>
      <c r="N56" s="1248"/>
      <c r="O56" s="1248"/>
      <c r="P56" s="255">
        <f ca="1">IF(N46&lt;=1200000, -P55, 0)</f>
        <v>0</v>
      </c>
      <c r="T56" s="154"/>
      <c r="AJ56" s="154"/>
      <c r="AK56" s="154"/>
      <c r="AL56" s="154"/>
      <c r="AM56" s="154"/>
      <c r="AN56" s="154"/>
      <c r="AO56" s="154"/>
      <c r="AP56" s="154"/>
      <c r="AQ56" s="154"/>
      <c r="AS56" t="s">
        <v>647</v>
      </c>
      <c r="AT56">
        <f ca="1">IF(AND(N29&lt;=500000),0,ROUND(P42*4%,0.1))</f>
        <v>5536</v>
      </c>
      <c r="AU56" s="154"/>
      <c r="AV56" s="154">
        <f ca="1">IF(AND(N46&lt;=1200000),0,ROUND(P67*4%,0.1))</f>
        <v>882</v>
      </c>
      <c r="AW56" s="154"/>
      <c r="AX56" s="154"/>
      <c r="AY56" s="154"/>
      <c r="AZ56" s="154"/>
      <c r="BA56" s="154"/>
    </row>
    <row r="57" spans="1:53" ht="13.9" customHeight="1" x14ac:dyDescent="0.25">
      <c r="A57" s="1300"/>
      <c r="B57" s="1293">
        <f ca="1">IF($AG$43=2,M48,M31)</f>
        <v>400000</v>
      </c>
      <c r="C57" s="1294"/>
      <c r="D57" s="866">
        <f t="shared" ref="D57:F60" ca="1" si="7">IF($AG$43=2,N48,N31)</f>
        <v>400000</v>
      </c>
      <c r="E57" s="867">
        <f t="shared" ca="1" si="7"/>
        <v>0</v>
      </c>
      <c r="F57" s="866">
        <f t="shared" ca="1" si="7"/>
        <v>0</v>
      </c>
      <c r="G57" s="868">
        <f t="shared" ref="G57:J59" ca="1" si="8">IF($AG$43=2,M52,"")</f>
        <v>2000000</v>
      </c>
      <c r="H57" s="869">
        <f t="shared" ca="1" si="8"/>
        <v>0</v>
      </c>
      <c r="I57" s="933">
        <f t="shared" ca="1" si="8"/>
        <v>0.2</v>
      </c>
      <c r="J57" s="896">
        <f t="shared" ca="1" si="8"/>
        <v>0</v>
      </c>
      <c r="K57" s="1217"/>
      <c r="L57" s="33"/>
      <c r="M57" s="1248" t="s">
        <v>1057</v>
      </c>
      <c r="N57" s="1248"/>
      <c r="O57" s="1248"/>
      <c r="P57" s="323">
        <f ca="1">P55+P56</f>
        <v>63306</v>
      </c>
      <c r="T57" s="154"/>
      <c r="AJ57" s="154"/>
      <c r="AK57" s="154"/>
      <c r="AL57" s="154"/>
      <c r="AM57" s="154"/>
      <c r="AN57" s="154"/>
      <c r="AO57" s="154"/>
      <c r="AP57" s="154"/>
      <c r="AQ57" s="154"/>
      <c r="AS57" t="s">
        <v>455</v>
      </c>
      <c r="AT57" s="37">
        <f ca="1">ROUND(SUM(P35,AT56)-AT55,0)</f>
        <v>143929</v>
      </c>
      <c r="AU57" s="154"/>
      <c r="AV57" s="37">
        <f ca="1">ROUND(SUM(P55,AV56)-AV55,0)</f>
        <v>22922</v>
      </c>
      <c r="AW57" s="154"/>
      <c r="AX57" s="154"/>
      <c r="AY57" s="154"/>
      <c r="AZ57" s="154"/>
      <c r="BA57" s="154"/>
    </row>
    <row r="58" spans="1:53" ht="13.9" customHeight="1" x14ac:dyDescent="0.25">
      <c r="A58" s="1300"/>
      <c r="B58" s="1293">
        <f ca="1">IF($AG$43=2,M49,M32)</f>
        <v>800000</v>
      </c>
      <c r="C58" s="1294"/>
      <c r="D58" s="866">
        <f t="shared" ca="1" si="7"/>
        <v>400000</v>
      </c>
      <c r="E58" s="867">
        <f t="shared" ca="1" si="7"/>
        <v>0.05</v>
      </c>
      <c r="F58" s="866">
        <f t="shared" ca="1" si="7"/>
        <v>20000</v>
      </c>
      <c r="G58" s="868">
        <f t="shared" ca="1" si="8"/>
        <v>2400000</v>
      </c>
      <c r="H58" s="869">
        <f t="shared" ca="1" si="8"/>
        <v>0</v>
      </c>
      <c r="I58" s="933">
        <f t="shared" ca="1" si="8"/>
        <v>0.25</v>
      </c>
      <c r="J58" s="896">
        <f t="shared" ca="1" si="8"/>
        <v>0</v>
      </c>
      <c r="K58" s="1217"/>
      <c r="L58" s="33"/>
      <c r="M58" s="1249" t="s">
        <v>1097</v>
      </c>
      <c r="N58" s="1249"/>
      <c r="O58" s="1249"/>
      <c r="P58" s="809">
        <f ca="1">MAX(0,P57-P59)</f>
        <v>41266</v>
      </c>
      <c r="Q58" s="154" t="str">
        <f ca="1">""&amp;N46&amp;"- 1200000 = "&amp;N46-M50&amp;"&gt;&gt;"&amp;P55&amp;"-"&amp;MAX(0,N46-1200000)&amp;"="&amp;IF(N46&gt;1200000,MAX(P55-N46+1200000,0),MIN(P55,60000))</f>
        <v>1222040- 1200000 = 22040&gt;&gt;63306-22040=41266</v>
      </c>
      <c r="R58" s="154"/>
      <c r="S58" s="154"/>
      <c r="T58" s="154"/>
      <c r="U58" s="154"/>
      <c r="AG58" s="415"/>
      <c r="AH58" s="154"/>
      <c r="AI58" s="154"/>
      <c r="AJ58" s="154"/>
      <c r="AK58" s="154"/>
      <c r="AL58" s="154"/>
      <c r="AM58" s="154"/>
      <c r="AN58" s="154"/>
      <c r="AO58" s="154"/>
      <c r="AP58" s="154"/>
      <c r="AQ58" s="154"/>
      <c r="AU58" s="154"/>
      <c r="AV58" s="154"/>
      <c r="AW58" s="154"/>
      <c r="AX58" s="154"/>
      <c r="AY58" s="154"/>
      <c r="AZ58" s="154"/>
      <c r="BA58" s="154"/>
    </row>
    <row r="59" spans="1:53" ht="13.9" customHeight="1" x14ac:dyDescent="0.25">
      <c r="A59" s="1300"/>
      <c r="B59" s="1293">
        <f ca="1">IF($AG$43=2,M50,M33)</f>
        <v>1200000</v>
      </c>
      <c r="C59" s="1294"/>
      <c r="D59" s="866">
        <f t="shared" ca="1" si="7"/>
        <v>400000</v>
      </c>
      <c r="E59" s="867">
        <f t="shared" ca="1" si="7"/>
        <v>0.1</v>
      </c>
      <c r="F59" s="866">
        <f t="shared" ca="1" si="7"/>
        <v>40000</v>
      </c>
      <c r="G59" s="868" t="str">
        <f t="shared" ca="1" si="8"/>
        <v>24,00,000+</v>
      </c>
      <c r="H59" s="869">
        <f t="shared" ca="1" si="8"/>
        <v>0</v>
      </c>
      <c r="I59" s="933">
        <f t="shared" ca="1" si="8"/>
        <v>0.3</v>
      </c>
      <c r="J59" s="896">
        <f t="shared" ca="1" si="8"/>
        <v>0</v>
      </c>
      <c r="K59" s="1217"/>
      <c r="L59" s="33"/>
      <c r="M59" s="409" t="s">
        <v>1058</v>
      </c>
      <c r="N59" s="409"/>
      <c r="O59" s="409"/>
      <c r="P59" s="808">
        <f ca="1">MIN(IF($N$46 - $M$50&gt; 0, $N$46 - $M$50, 0), $P$55)</f>
        <v>22040</v>
      </c>
      <c r="Q59" s="154"/>
      <c r="R59" s="154"/>
      <c r="S59" s="154"/>
      <c r="T59" s="154"/>
      <c r="U59" s="154"/>
      <c r="AG59" s="415"/>
      <c r="AH59" s="154"/>
      <c r="AI59" s="154"/>
      <c r="AJ59" s="154"/>
      <c r="AK59" s="154"/>
      <c r="AL59" s="154"/>
      <c r="AM59" s="154"/>
      <c r="AN59" s="154"/>
      <c r="AO59" s="154"/>
      <c r="AP59" s="154"/>
      <c r="AQ59" s="154"/>
      <c r="AU59" s="154"/>
      <c r="AV59" s="154"/>
      <c r="AW59" s="154"/>
      <c r="AX59" s="154"/>
      <c r="AY59" s="154"/>
      <c r="AZ59" s="154"/>
      <c r="BA59" s="154"/>
    </row>
    <row r="60" spans="1:53" ht="13.9" customHeight="1" x14ac:dyDescent="0.25">
      <c r="A60" s="1301"/>
      <c r="B60" s="1293">
        <f ca="1">IF($AG$43=2,M51,M34)</f>
        <v>1600000</v>
      </c>
      <c r="C60" s="1294"/>
      <c r="D60" s="869">
        <f t="shared" ca="1" si="7"/>
        <v>22040</v>
      </c>
      <c r="E60" s="870">
        <f t="shared" ca="1" si="7"/>
        <v>0.15</v>
      </c>
      <c r="F60" s="871">
        <f t="shared" ca="1" si="7"/>
        <v>3306</v>
      </c>
      <c r="G60" s="979"/>
      <c r="H60" s="979"/>
      <c r="I60" s="980"/>
      <c r="J60" s="897"/>
      <c r="K60" s="1217"/>
      <c r="L60" s="33"/>
      <c r="M60" s="1251" t="s">
        <v>1059</v>
      </c>
      <c r="N60" s="1251"/>
      <c r="O60" s="1251"/>
      <c r="P60" s="382">
        <f ca="1">IF(N46&gt;1200000,MAX(P55-N46+1200000,0),MIN(P55,60000))</f>
        <v>41266</v>
      </c>
      <c r="Q60" s="154"/>
      <c r="R60" s="154"/>
      <c r="S60" s="154"/>
      <c r="T60" s="154"/>
      <c r="U60" s="154"/>
      <c r="AG60" s="415"/>
      <c r="AH60" s="154"/>
      <c r="AI60" s="154"/>
      <c r="AJ60" s="154"/>
      <c r="AK60" s="154"/>
      <c r="AL60" s="154"/>
      <c r="AM60" s="154"/>
      <c r="AN60" s="154"/>
      <c r="AO60" s="154"/>
      <c r="AP60" s="154"/>
      <c r="AQ60" s="154"/>
      <c r="AU60" s="154"/>
      <c r="AV60" s="154"/>
      <c r="AW60" s="154"/>
      <c r="AX60" s="154"/>
      <c r="AY60" s="154"/>
      <c r="AZ60" s="154"/>
      <c r="BA60" s="154"/>
    </row>
    <row r="61" spans="1:53" ht="13.9" customHeight="1" x14ac:dyDescent="0.25">
      <c r="A61" s="862">
        <v>12</v>
      </c>
      <c r="B61" s="839" t="str">
        <f ca="1">IF(P58&gt;0,"Less - Marginal Relief","Tax Rebate U/s 87 A "&amp;IF(AH38=1,"     (Taxable income &lt;=5,00,000/- max of 12500/-","   (Taxable income  &lt;=1200000/-max 60,000/-)"))</f>
        <v>Less - Marginal Relief</v>
      </c>
      <c r="C61" s="840"/>
      <c r="D61" s="842"/>
      <c r="E61" s="842"/>
      <c r="F61" s="842"/>
      <c r="G61" s="855"/>
      <c r="H61" s="855"/>
      <c r="I61" s="842"/>
      <c r="J61" s="831"/>
      <c r="K61" s="834">
        <f ca="1">IF(K54&lt;250001,0,IF(AH38=1,IF(K54&gt;500000,0,IF($K$55&lt;=12500,$K$55,12500)),IF(K54&gt;1200000,MAX(K55-K54+1200000,0),MIN(K55,60000))))</f>
        <v>41266</v>
      </c>
      <c r="L61" s="33"/>
      <c r="M61" s="1246" t="s">
        <v>728</v>
      </c>
      <c r="N61" s="1246"/>
      <c r="O61" s="1246"/>
      <c r="P61" s="579">
        <f ca="1">MAX(P55-P60,0)</f>
        <v>22040</v>
      </c>
      <c r="Q61" s="154"/>
      <c r="R61" s="154"/>
      <c r="S61" s="154"/>
      <c r="T61" s="154"/>
      <c r="U61" s="154"/>
      <c r="AG61" s="415"/>
      <c r="AH61" s="154"/>
      <c r="AI61" s="154"/>
      <c r="AJ61" s="154"/>
      <c r="AK61" s="154"/>
      <c r="AL61" s="154"/>
      <c r="AM61" s="154"/>
      <c r="AN61" s="154"/>
      <c r="AO61" s="154"/>
      <c r="AP61" s="154"/>
      <c r="AQ61" s="154"/>
      <c r="AU61" s="154"/>
      <c r="AV61" s="154"/>
      <c r="AW61" s="154"/>
      <c r="AX61" s="154"/>
      <c r="AY61" s="154"/>
      <c r="AZ61" s="154"/>
      <c r="BA61" s="154"/>
    </row>
    <row r="62" spans="1:53" ht="13.9" customHeight="1" x14ac:dyDescent="0.25">
      <c r="A62" s="862">
        <v>13</v>
      </c>
      <c r="B62" s="839" t="str">
        <f ca="1">"Total Calculated tax after "&amp;IF(P58&gt;0,"marginal Relief","Tax rebate")&amp;" (11-12)"</f>
        <v>Total Calculated tax after marginal Relief (11-12)</v>
      </c>
      <c r="C62" s="840"/>
      <c r="D62" s="842"/>
      <c r="E62" s="842"/>
      <c r="F62" s="842"/>
      <c r="G62" s="855"/>
      <c r="H62" s="855"/>
      <c r="I62" s="842"/>
      <c r="J62" s="831"/>
      <c r="K62" s="834">
        <f ca="1">IF(AH38=1,MAX(P35-P36,0),MAX(P55-P60,0))</f>
        <v>22040</v>
      </c>
      <c r="L62" s="33"/>
      <c r="M62" s="1253" t="s">
        <v>300</v>
      </c>
      <c r="N62" s="1254" t="s">
        <v>301</v>
      </c>
      <c r="O62" s="1247">
        <v>0.1</v>
      </c>
      <c r="P62" s="1252">
        <f ca="1">IF(N46&lt;5000001,0,(IF(N46&lt;10000001,(MIN((P55*0.1),((N46-5000000)*0.7))),0)))</f>
        <v>0</v>
      </c>
      <c r="Q62" s="154"/>
      <c r="R62" s="154"/>
      <c r="S62" s="154"/>
      <c r="T62" s="154"/>
      <c r="U62" s="154"/>
      <c r="AG62" s="415"/>
      <c r="AH62" s="154"/>
      <c r="AI62" s="154"/>
      <c r="AJ62" s="154"/>
      <c r="AK62" s="154"/>
      <c r="AL62" s="154"/>
      <c r="AM62" s="154"/>
      <c r="AN62" s="154"/>
      <c r="AO62" s="154"/>
      <c r="AP62" s="154"/>
      <c r="AQ62" s="154"/>
      <c r="AU62" s="154"/>
      <c r="AV62" s="154"/>
      <c r="AW62" s="154"/>
      <c r="AX62" s="154"/>
      <c r="AY62" s="154"/>
      <c r="AZ62" s="154"/>
      <c r="BA62" s="154"/>
    </row>
    <row r="63" spans="1:53" ht="13.9" customHeight="1" x14ac:dyDescent="0.25">
      <c r="A63" s="862">
        <v>14</v>
      </c>
      <c r="B63" s="841" t="s">
        <v>189</v>
      </c>
      <c r="C63" s="842"/>
      <c r="D63" s="842"/>
      <c r="E63" s="842"/>
      <c r="F63" s="842"/>
      <c r="G63" s="855"/>
      <c r="H63" s="855"/>
      <c r="I63" s="842"/>
      <c r="J63" s="831"/>
      <c r="K63" s="843">
        <f ca="1">IF(AH38=1,IF(AND(K54&lt;=500000),0,ROUND(K55*4%,0.1)),IF(AND(K54&lt;=1200000),0,ROUND(SUM(K55-K61)*4%,0.1)))</f>
        <v>882</v>
      </c>
      <c r="L63" s="33"/>
      <c r="M63" s="1253"/>
      <c r="N63" s="1254"/>
      <c r="O63" s="1247"/>
      <c r="P63" s="1252"/>
      <c r="Q63" s="154"/>
      <c r="R63" s="154"/>
      <c r="S63" s="154"/>
      <c r="T63" s="154"/>
      <c r="U63" s="154"/>
      <c r="AG63" s="415"/>
      <c r="AH63" s="154"/>
      <c r="AI63" s="154"/>
      <c r="AJ63" s="154"/>
      <c r="AK63" s="154"/>
      <c r="AL63" s="154"/>
      <c r="AM63" s="154"/>
      <c r="AN63" s="154"/>
      <c r="AO63" s="154"/>
      <c r="AP63" s="154"/>
      <c r="AQ63" s="154"/>
      <c r="AU63" s="154"/>
      <c r="AV63" s="154"/>
      <c r="AW63" s="154"/>
      <c r="AX63" s="154"/>
      <c r="AY63" s="154"/>
      <c r="AZ63" s="154"/>
      <c r="BA63" s="154"/>
    </row>
    <row r="64" spans="1:53" ht="13.9" customHeight="1" x14ac:dyDescent="0.25">
      <c r="A64" s="862">
        <v>15</v>
      </c>
      <c r="B64" s="829" t="s">
        <v>1062</v>
      </c>
      <c r="C64" s="837"/>
      <c r="D64" s="837"/>
      <c r="E64" s="837"/>
      <c r="F64" s="837"/>
      <c r="G64" s="855"/>
      <c r="H64" s="855"/>
      <c r="I64" s="837"/>
      <c r="J64" s="831"/>
      <c r="K64" s="843">
        <f ca="1">ROUND(SUM(K55,K63)-K61,0)</f>
        <v>22922</v>
      </c>
      <c r="L64" s="33"/>
      <c r="M64" s="1253"/>
      <c r="N64" s="1254"/>
      <c r="O64" s="1247"/>
      <c r="P64" s="1252"/>
      <c r="Q64" s="154"/>
      <c r="R64" s="154"/>
      <c r="S64" s="154"/>
      <c r="T64" s="154"/>
      <c r="U64" s="154"/>
      <c r="AG64" s="415"/>
      <c r="AH64" s="154"/>
      <c r="AI64" s="154"/>
      <c r="AJ64" s="154"/>
      <c r="AK64" s="154"/>
      <c r="AL64" s="154"/>
      <c r="AM64" s="154"/>
      <c r="AN64" s="154"/>
      <c r="AO64" s="154"/>
      <c r="AP64" s="154"/>
      <c r="AQ64" s="154"/>
      <c r="AU64" s="154"/>
      <c r="AV64" s="154"/>
      <c r="AW64" s="154"/>
      <c r="AX64" s="154"/>
      <c r="AY64" s="154"/>
      <c r="AZ64" s="154"/>
      <c r="BA64" s="154"/>
    </row>
    <row r="65" spans="1:53" ht="13.9" customHeight="1" x14ac:dyDescent="0.25">
      <c r="A65" s="862">
        <v>16</v>
      </c>
      <c r="B65" s="844" t="s">
        <v>657</v>
      </c>
      <c r="C65" s="845"/>
      <c r="D65" s="837"/>
      <c r="E65" s="837"/>
      <c r="F65" s="837"/>
      <c r="G65" s="855"/>
      <c r="H65" s="855"/>
      <c r="I65" s="837"/>
      <c r="J65" s="831"/>
      <c r="K65" s="830">
        <f>'FORM 10E'!I56</f>
        <v>0</v>
      </c>
      <c r="L65" s="33"/>
      <c r="M65" s="1253" t="s">
        <v>300</v>
      </c>
      <c r="N65" s="1254" t="s">
        <v>302</v>
      </c>
      <c r="O65" s="1247">
        <v>0.15</v>
      </c>
      <c r="P65" s="1252">
        <f ca="1">IF(N46&gt;10000001,(MIN(((N46-10000000)*0.7+281250),(P55*0.15))),0)</f>
        <v>0</v>
      </c>
      <c r="Q65" s="154"/>
      <c r="R65" s="154"/>
      <c r="S65" s="154"/>
      <c r="T65" s="154"/>
      <c r="U65" s="154"/>
      <c r="AG65" s="415"/>
      <c r="AH65" s="154"/>
      <c r="AI65" s="154"/>
      <c r="AJ65" s="154"/>
      <c r="AK65" s="154"/>
      <c r="AL65" s="154"/>
      <c r="AM65" s="154"/>
      <c r="AN65" s="154"/>
      <c r="AO65" s="154"/>
      <c r="AP65" s="154"/>
      <c r="AQ65" s="154"/>
      <c r="AU65" s="154"/>
      <c r="AV65" s="154"/>
      <c r="AW65" s="154"/>
      <c r="AX65" s="154"/>
      <c r="AY65" s="154"/>
      <c r="AZ65" s="154"/>
      <c r="BA65" s="154"/>
    </row>
    <row r="66" spans="1:53" ht="13.9" customHeight="1" x14ac:dyDescent="0.25">
      <c r="A66" s="1299">
        <v>17</v>
      </c>
      <c r="B66" s="872" t="s">
        <v>190</v>
      </c>
      <c r="C66" s="981"/>
      <c r="D66" s="981"/>
      <c r="E66" s="981"/>
      <c r="F66" s="981"/>
      <c r="G66" s="981"/>
      <c r="H66" s="981"/>
      <c r="I66" s="981"/>
      <c r="J66" s="918"/>
      <c r="K66" s="1217">
        <f>SUM(DATA!CE11:CE22)</f>
        <v>0</v>
      </c>
      <c r="L66" s="33"/>
      <c r="M66" s="1253"/>
      <c r="N66" s="1254"/>
      <c r="O66" s="1247"/>
      <c r="P66" s="1252"/>
      <c r="Q66" s="154"/>
      <c r="R66" s="154"/>
      <c r="S66" s="154"/>
      <c r="T66" s="154"/>
      <c r="U66" s="154"/>
      <c r="AG66" s="415"/>
      <c r="AH66" s="154"/>
      <c r="AI66" s="154"/>
      <c r="AJ66" s="154"/>
      <c r="AK66" s="154"/>
      <c r="AL66" s="154"/>
      <c r="AM66" s="154"/>
      <c r="AN66" s="154"/>
      <c r="AO66" s="154"/>
      <c r="AP66" s="154"/>
      <c r="AQ66" s="154"/>
      <c r="AR66" s="154"/>
      <c r="AS66" s="154"/>
      <c r="AT66" s="154"/>
      <c r="AU66" s="154"/>
      <c r="AV66" s="154"/>
      <c r="AW66" s="154"/>
      <c r="AX66" s="154"/>
      <c r="AY66" s="154"/>
      <c r="AZ66" s="154"/>
      <c r="BA66" s="154"/>
    </row>
    <row r="67" spans="1:53" ht="13.9" customHeight="1" x14ac:dyDescent="0.25">
      <c r="A67" s="1300"/>
      <c r="B67" s="873" t="str">
        <f>'Form 16-P2'!E31</f>
        <v>Mar-2025</v>
      </c>
      <c r="C67" s="982"/>
      <c r="D67" s="835">
        <f>DATA!CE11</f>
        <v>0</v>
      </c>
      <c r="E67" s="874" t="str">
        <f>'Form 16-P2'!E34</f>
        <v>Jun-2025</v>
      </c>
      <c r="F67" s="875">
        <f>DATA!CE14</f>
        <v>0</v>
      </c>
      <c r="G67" s="876" t="str">
        <f>'Form 16-P2'!E37</f>
        <v>Sep-2025</v>
      </c>
      <c r="H67" s="877">
        <f>DATA!CE17</f>
        <v>0</v>
      </c>
      <c r="I67" s="878" t="str">
        <f>'Form 16-P2'!E40</f>
        <v>Dec-2025</v>
      </c>
      <c r="J67" s="875">
        <f>DATA!CE20</f>
        <v>0</v>
      </c>
      <c r="K67" s="1217"/>
      <c r="L67" s="568"/>
      <c r="M67" s="1250" t="s">
        <v>729</v>
      </c>
      <c r="N67" s="1250"/>
      <c r="O67" s="1250"/>
      <c r="P67" s="577">
        <f ca="1">SUM(P61:P66)</f>
        <v>22040</v>
      </c>
      <c r="Q67" s="154"/>
      <c r="R67" s="154"/>
      <c r="S67" s="154"/>
      <c r="T67" s="154"/>
      <c r="U67" s="154"/>
      <c r="W67" s="912"/>
      <c r="AG67" s="415"/>
      <c r="AH67" s="154"/>
      <c r="AI67" s="154"/>
      <c r="AJ67" s="154"/>
      <c r="AK67" s="154"/>
      <c r="AL67" s="154"/>
      <c r="AM67" s="154"/>
      <c r="AN67" s="154"/>
      <c r="AO67" s="154"/>
      <c r="AP67" s="154"/>
      <c r="AQ67" s="154"/>
      <c r="AR67" s="154"/>
      <c r="AS67" s="154"/>
      <c r="AT67" s="154"/>
      <c r="AU67" s="154"/>
      <c r="AV67" s="154"/>
      <c r="AW67" s="154"/>
      <c r="AX67" s="154"/>
      <c r="AY67" s="154"/>
      <c r="AZ67" s="154"/>
      <c r="BA67" s="154"/>
    </row>
    <row r="68" spans="1:53" ht="13.9" customHeight="1" x14ac:dyDescent="0.25">
      <c r="A68" s="1300"/>
      <c r="B68" s="873" t="str">
        <f>'Form 16-P2'!E32</f>
        <v>Apr-2025</v>
      </c>
      <c r="C68" s="982"/>
      <c r="D68" s="835">
        <f>DATA!CE12</f>
        <v>0</v>
      </c>
      <c r="E68" s="874" t="str">
        <f>'Form 16-P2'!E35</f>
        <v>Jul-2025</v>
      </c>
      <c r="F68" s="875">
        <f>DATA!CE15</f>
        <v>0</v>
      </c>
      <c r="G68" s="876" t="str">
        <f>'Form 16-P2'!E38</f>
        <v>Oct-2025</v>
      </c>
      <c r="H68" s="877">
        <f>DATA!CE18</f>
        <v>0</v>
      </c>
      <c r="I68" s="878" t="str">
        <f>'Form 16-P2'!E41</f>
        <v>Jan-2026</v>
      </c>
      <c r="J68" s="875">
        <f>DATA!CE21</f>
        <v>0</v>
      </c>
      <c r="K68" s="1217"/>
      <c r="L68" s="569"/>
      <c r="M68" s="1241" t="s">
        <v>730</v>
      </c>
      <c r="N68" s="1241"/>
      <c r="O68" s="1241"/>
      <c r="P68" s="578">
        <f ca="1">ROUND(P67*4%,0.1)</f>
        <v>882</v>
      </c>
      <c r="Q68" s="154"/>
      <c r="R68" s="154"/>
      <c r="S68" s="154"/>
      <c r="T68" s="154"/>
      <c r="U68" s="154"/>
      <c r="W68" s="40"/>
      <c r="AG68" s="415"/>
      <c r="AH68" s="154"/>
      <c r="AI68" s="154"/>
      <c r="AJ68" s="154"/>
      <c r="AK68" s="154"/>
      <c r="AL68" s="154"/>
      <c r="AM68" s="154"/>
      <c r="AN68" s="154"/>
      <c r="AO68" s="154"/>
      <c r="AP68" s="154"/>
      <c r="AQ68" s="154"/>
      <c r="AR68" s="154"/>
      <c r="AS68" s="154"/>
      <c r="AT68" s="154"/>
      <c r="AU68" s="154"/>
      <c r="AV68" s="154"/>
      <c r="AW68" s="154"/>
      <c r="AX68" s="154"/>
      <c r="AY68" s="154"/>
      <c r="AZ68" s="154"/>
      <c r="BA68" s="154"/>
    </row>
    <row r="69" spans="1:53" ht="13.9" customHeight="1" x14ac:dyDescent="0.25">
      <c r="A69" s="1301"/>
      <c r="B69" s="873" t="str">
        <f>'Form 16-P2'!E33</f>
        <v>May-2025</v>
      </c>
      <c r="C69" s="982"/>
      <c r="D69" s="879">
        <f>DATA!CE13</f>
        <v>0</v>
      </c>
      <c r="E69" s="878" t="str">
        <f>'Form 16-P2'!E36</f>
        <v>Aug-2025</v>
      </c>
      <c r="F69" s="877">
        <f>DATA!CE16</f>
        <v>0</v>
      </c>
      <c r="G69" s="880" t="str">
        <f>'Form 16-P2'!E39</f>
        <v>Nov-2025</v>
      </c>
      <c r="H69" s="877">
        <f>DATA!CE19</f>
        <v>0</v>
      </c>
      <c r="I69" s="878" t="str">
        <f>'Form 16-P2'!E42</f>
        <v>Feb-2026</v>
      </c>
      <c r="J69" s="877">
        <f>DATA!CE22</f>
        <v>0</v>
      </c>
      <c r="K69" s="1217"/>
      <c r="L69" s="570"/>
      <c r="M69" s="1242" t="s">
        <v>731</v>
      </c>
      <c r="N69" s="1242"/>
      <c r="O69" s="1242"/>
      <c r="P69" s="580">
        <f ca="1">ROUND(SUM(P67:P68),0)</f>
        <v>22922</v>
      </c>
      <c r="W69" s="913"/>
    </row>
    <row r="70" spans="1:53" ht="13.9" customHeight="1" x14ac:dyDescent="0.25">
      <c r="A70" s="881">
        <v>18</v>
      </c>
      <c r="B70" s="829" t="s">
        <v>462</v>
      </c>
      <c r="C70" s="831"/>
      <c r="D70" s="831"/>
      <c r="E70" s="831"/>
      <c r="F70" s="831"/>
      <c r="G70" s="831"/>
      <c r="H70" s="831"/>
      <c r="I70" s="831"/>
      <c r="J70" s="831"/>
      <c r="K70" s="846">
        <f ca="1">SUM(K64)-K65-K66</f>
        <v>22922</v>
      </c>
      <c r="L70" s="571"/>
    </row>
    <row r="71" spans="1:53" ht="13.9" customHeight="1" x14ac:dyDescent="0.25">
      <c r="A71" s="882"/>
      <c r="B71" s="918"/>
      <c r="C71" s="918"/>
      <c r="D71" s="918"/>
      <c r="E71" s="918"/>
      <c r="F71" s="918"/>
      <c r="G71" s="918"/>
      <c r="H71" s="918"/>
      <c r="I71" s="918"/>
      <c r="J71" s="918"/>
      <c r="K71" s="865"/>
      <c r="L71" s="571"/>
    </row>
    <row r="72" spans="1:53" ht="13.9" customHeight="1" x14ac:dyDescent="0.25">
      <c r="A72" s="924"/>
      <c r="B72" s="851"/>
      <c r="C72" s="925" t="s">
        <v>192</v>
      </c>
      <c r="D72" s="851"/>
      <c r="E72" s="851"/>
      <c r="F72" s="851"/>
      <c r="G72" s="851"/>
      <c r="H72" s="851"/>
      <c r="I72" s="851"/>
      <c r="J72" s="851"/>
      <c r="K72" s="926" t="s">
        <v>193</v>
      </c>
      <c r="L72" s="571"/>
    </row>
    <row r="73" spans="1:53" ht="9.6" customHeight="1" x14ac:dyDescent="0.25">
      <c r="A73" s="1285" t="s">
        <v>1093</v>
      </c>
      <c r="B73" s="1285"/>
      <c r="C73" s="1285"/>
      <c r="D73" s="1285"/>
      <c r="E73" s="1285"/>
      <c r="F73" s="1285"/>
      <c r="G73" s="1285"/>
      <c r="H73" s="1285"/>
      <c r="I73" s="1285"/>
      <c r="J73" s="1285"/>
      <c r="K73" s="1285"/>
      <c r="L73" s="571"/>
    </row>
    <row r="74" spans="1:53" ht="13.9" customHeight="1" x14ac:dyDescent="0.25"/>
    <row r="75" spans="1:53" ht="10.9" customHeight="1" x14ac:dyDescent="0.25"/>
    <row r="148" ht="24" customHeight="1" x14ac:dyDescent="0.25"/>
    <row r="165" ht="14.45" customHeight="1" x14ac:dyDescent="0.25"/>
  </sheetData>
  <sheetProtection algorithmName="SHA-512" hashValue="gmE6+ODgMe1uaVMeP2Ox3NjOKVcxNyG4zKk0Z8/WQLG8XxgnBbEesl0HPlAi5DLqyrVif921RP/FXFA8ebkasg==" saltValue="Y+3ftzf+T0LhBlUFnaPpEA==" spinCount="100000" sheet="1" formatCells="0" formatColumns="0" formatRows="0" autoFilter="0"/>
  <protectedRanges>
    <protectedRange password="CF7A" sqref="J14 AS12" name="Range1"/>
  </protectedRanges>
  <mergeCells count="80">
    <mergeCell ref="A73:K73"/>
    <mergeCell ref="J17:J19"/>
    <mergeCell ref="K17:K19"/>
    <mergeCell ref="J22:J25"/>
    <mergeCell ref="K22:K25"/>
    <mergeCell ref="B57:C57"/>
    <mergeCell ref="B58:C58"/>
    <mergeCell ref="B59:C59"/>
    <mergeCell ref="B56:C56"/>
    <mergeCell ref="B60:C60"/>
    <mergeCell ref="K66:K69"/>
    <mergeCell ref="K43:K52"/>
    <mergeCell ref="B43:B52"/>
    <mergeCell ref="A66:A69"/>
    <mergeCell ref="A55:A60"/>
    <mergeCell ref="K31:K41"/>
    <mergeCell ref="J5:K5"/>
    <mergeCell ref="J4:K4"/>
    <mergeCell ref="A5:C5"/>
    <mergeCell ref="A4:C4"/>
    <mergeCell ref="D2:I2"/>
    <mergeCell ref="D3:I3"/>
    <mergeCell ref="A2:C2"/>
    <mergeCell ref="A3:C3"/>
    <mergeCell ref="J2:K2"/>
    <mergeCell ref="J3:K3"/>
    <mergeCell ref="D4:E4"/>
    <mergeCell ref="D5:E5"/>
    <mergeCell ref="G4:H4"/>
    <mergeCell ref="G5:H5"/>
    <mergeCell ref="O65:O66"/>
    <mergeCell ref="P65:P66"/>
    <mergeCell ref="M62:M64"/>
    <mergeCell ref="N62:N64"/>
    <mergeCell ref="P38:P39"/>
    <mergeCell ref="M40:M41"/>
    <mergeCell ref="N40:N41"/>
    <mergeCell ref="O40:O41"/>
    <mergeCell ref="P40:P41"/>
    <mergeCell ref="M5:N5"/>
    <mergeCell ref="M35:O35"/>
    <mergeCell ref="M36:O36"/>
    <mergeCell ref="M43:O43"/>
    <mergeCell ref="M44:O44"/>
    <mergeCell ref="M42:O42"/>
    <mergeCell ref="M14:M15"/>
    <mergeCell ref="N14:N15"/>
    <mergeCell ref="M38:M39"/>
    <mergeCell ref="N38:N39"/>
    <mergeCell ref="O38:O39"/>
    <mergeCell ref="M37:O37"/>
    <mergeCell ref="AT15:AT18"/>
    <mergeCell ref="AT7:AT13"/>
    <mergeCell ref="AS9:AS11"/>
    <mergeCell ref="M68:O68"/>
    <mergeCell ref="M69:O69"/>
    <mergeCell ref="M55:O55"/>
    <mergeCell ref="M61:O61"/>
    <mergeCell ref="O62:O64"/>
    <mergeCell ref="M56:O56"/>
    <mergeCell ref="M57:O57"/>
    <mergeCell ref="M58:O58"/>
    <mergeCell ref="M67:O67"/>
    <mergeCell ref="M60:O60"/>
    <mergeCell ref="P62:P64"/>
    <mergeCell ref="M65:M66"/>
    <mergeCell ref="N65:N66"/>
    <mergeCell ref="B9:B13"/>
    <mergeCell ref="D7:J7"/>
    <mergeCell ref="K9:K15"/>
    <mergeCell ref="A8:A15"/>
    <mergeCell ref="F13:I13"/>
    <mergeCell ref="J10:J13"/>
    <mergeCell ref="C13:E13"/>
    <mergeCell ref="B31:B41"/>
    <mergeCell ref="K55:K60"/>
    <mergeCell ref="A21:A25"/>
    <mergeCell ref="A26:A28"/>
    <mergeCell ref="J27:J28"/>
    <mergeCell ref="K27:K28"/>
  </mergeCells>
  <conditionalFormatting sqref="A8 A16 B17:B19 A20 A26 A29:A30">
    <cfRule type="containsErrors" dxfId="10" priority="2" stopIfTrue="1">
      <formula>ISERROR(A8)</formula>
    </cfRule>
  </conditionalFormatting>
  <printOptions horizontalCentered="1"/>
  <pageMargins left="0.19685039370078741" right="0.15748031496062992" top="0.35433070866141736" bottom="0.15748031496062992" header="0.31496062992125984" footer="0.11811023622047245"/>
  <pageSetup paperSize="9" scale="78" orientation="portrait" r:id="rId1"/>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7F77C983-6562-4AFA-B197-5057C3528497}">
  <sheetPr>
    <tabColor rgb="FF92D050"/>
  </sheetPr>
  <dimension ref="A1:M264"/>
  <sheetViews>
    <sheetView topLeftCell="A60" workbookViewId="0">
      <selection activeCell="A2" sqref="A1:XFD2"/>
    </sheetView>
  </sheetViews>
  <sheetFormatPr defaultRowHeight="15" x14ac:dyDescent="0.25"/>
  <cols>
    <col min="1" max="1" width="22.140625" customWidth="1"/>
    <col min="8" max="8" width="29.140625" customWidth="1"/>
    <col min="11" max="11" width="9.7109375" bestFit="1" customWidth="1"/>
  </cols>
  <sheetData>
    <row r="1" spans="1:13" hidden="1" x14ac:dyDescent="0.25"/>
    <row r="2" spans="1:13" hidden="1" x14ac:dyDescent="0.25"/>
    <row r="3" spans="1:13" hidden="1" x14ac:dyDescent="0.25">
      <c r="A3" t="s">
        <v>904</v>
      </c>
      <c r="H3" t="s">
        <v>905</v>
      </c>
    </row>
    <row r="4" spans="1:13" hidden="1" x14ac:dyDescent="0.25">
      <c r="A4" t="s">
        <v>952</v>
      </c>
      <c r="B4" t="s">
        <v>907</v>
      </c>
      <c r="D4" s="685">
        <f>DATA!D71</f>
        <v>0</v>
      </c>
      <c r="E4" t="s">
        <v>908</v>
      </c>
      <c r="H4" t="s">
        <v>952</v>
      </c>
      <c r="I4" t="s">
        <v>907</v>
      </c>
      <c r="K4" s="685">
        <f>DATA!D71+DATA!E71</f>
        <v>0</v>
      </c>
      <c r="L4" t="s">
        <v>908</v>
      </c>
    </row>
    <row r="5" spans="1:13" hidden="1" x14ac:dyDescent="0.25">
      <c r="A5" t="s">
        <v>953</v>
      </c>
      <c r="B5" t="s">
        <v>855</v>
      </c>
      <c r="C5" t="s">
        <v>856</v>
      </c>
      <c r="D5" t="s">
        <v>857</v>
      </c>
      <c r="E5" t="s">
        <v>858</v>
      </c>
      <c r="H5" t="s">
        <v>953</v>
      </c>
      <c r="I5" t="s">
        <v>855</v>
      </c>
      <c r="J5" t="s">
        <v>856</v>
      </c>
      <c r="K5" t="s">
        <v>857</v>
      </c>
      <c r="L5" t="s">
        <v>858</v>
      </c>
    </row>
    <row r="6" spans="1:13" hidden="1" x14ac:dyDescent="0.25">
      <c r="A6" t="s">
        <v>910</v>
      </c>
      <c r="B6" t="s">
        <v>862</v>
      </c>
      <c r="C6" t="s">
        <v>863</v>
      </c>
      <c r="D6">
        <v>300000</v>
      </c>
      <c r="E6">
        <v>500000</v>
      </c>
      <c r="H6" t="s">
        <v>910</v>
      </c>
      <c r="I6" t="s">
        <v>862</v>
      </c>
      <c r="J6" t="s">
        <v>863</v>
      </c>
      <c r="K6">
        <v>300000</v>
      </c>
      <c r="L6">
        <v>500000</v>
      </c>
    </row>
    <row r="7" spans="1:13" hidden="1" x14ac:dyDescent="0.25">
      <c r="A7" t="s">
        <v>954</v>
      </c>
      <c r="B7">
        <f t="shared" ref="B7:C7" si="0">IF(AND($D$114&gt;=250000,($D$114&lt;500000)),($D$114-250000)*0.05)+IF(AND($D$114&gt;=500000,$D$114&lt;1000000),(12500+($D$114-500000)*0.2))+IF($D$114&gt;=1000000,(112500+($D$114-1000000)*0.3))</f>
        <v>0</v>
      </c>
      <c r="C7">
        <f t="shared" si="0"/>
        <v>0</v>
      </c>
      <c r="D7">
        <f>IF(AND($D$114&gt;=300000,($D$114&lt;500000)),($D$114-300000)*0.05)+IF(AND($D$114&gt;=500000,$D$114&lt;1000000),(12500+($D$114-500000)*0.2))+IF($D$114&gt;=1000000,(112500+($D$114-1000000)*0.3))</f>
        <v>0</v>
      </c>
      <c r="E7">
        <f>IF(AND($D$114&gt;=500000,($D$114&lt;500000)),($D$114-500000)*0.05)+IF(AND($D$114&gt;=500000,$D$114&lt;1000000),(12500+($D$114-500000)*0.2))+IF($D$114&gt;=1000000,(112500+($D$114-1000000)*0.3))</f>
        <v>0</v>
      </c>
      <c r="H7" t="s">
        <v>954</v>
      </c>
      <c r="I7">
        <f t="shared" ref="I7:J7" si="1">IF(AND($K$114&gt;=250000,($K$114&lt;500000)),($K$114-250000)*0.05)+IF(AND($K$114&gt;=500000,$K$114&lt;1000000),(12500+($K$114-500000)*0.2))+IF($K$114&gt;=1000000,(112500+($K$114-1000000)*0.3))</f>
        <v>0</v>
      </c>
      <c r="J7">
        <f t="shared" si="1"/>
        <v>0</v>
      </c>
      <c r="K7">
        <f>IF(AND($K$114&gt;=300000,($K$114&lt;500000)),($K$114-300000)*0.05)+IF(AND($K$114&gt;=500000,$K$114&lt;1000000),(12500+($K$114-500000)*0.2))+IF($K$114&gt;=1000000,(112500+($K$114-1000000)*0.3))</f>
        <v>0</v>
      </c>
      <c r="L7">
        <f>IF(AND($K$114&gt;=500000,($K$114&lt;500000)),($K$114-300000)*0.05)+IF(AND($K$114&gt;=500000,$K$114&lt;1000000),(12500+($K$114-500000)*0.2))+IF($K$114&gt;=1000000,(112500+($K$114-1000000)*0.3))</f>
        <v>0</v>
      </c>
    </row>
    <row r="8" spans="1:13" hidden="1" x14ac:dyDescent="0.25">
      <c r="A8" t="s">
        <v>955</v>
      </c>
      <c r="B8">
        <v>0</v>
      </c>
      <c r="C8">
        <v>0</v>
      </c>
      <c r="D8">
        <v>0</v>
      </c>
      <c r="E8">
        <v>0</v>
      </c>
      <c r="H8" t="s">
        <v>955</v>
      </c>
      <c r="I8">
        <v>0</v>
      </c>
      <c r="J8">
        <v>0</v>
      </c>
      <c r="K8">
        <v>0</v>
      </c>
      <c r="L8">
        <v>0</v>
      </c>
    </row>
    <row r="9" spans="1:13" hidden="1" x14ac:dyDescent="0.25">
      <c r="A9" t="s">
        <v>860</v>
      </c>
      <c r="B9">
        <f t="shared" ref="B9:E9" si="2">IF($D$114&lt;500001,MIN(B7,12500),0)</f>
        <v>0</v>
      </c>
      <c r="C9">
        <f t="shared" si="2"/>
        <v>0</v>
      </c>
      <c r="D9">
        <f t="shared" si="2"/>
        <v>0</v>
      </c>
      <c r="E9">
        <f t="shared" si="2"/>
        <v>0</v>
      </c>
      <c r="F9">
        <f>IF(F12=2,F10,IF(F12=1,F11,0))</f>
        <v>0</v>
      </c>
      <c r="H9" t="s">
        <v>860</v>
      </c>
      <c r="I9">
        <f t="shared" ref="I9:K9" si="3">IF($K$114&lt;500001,MIN(I7,12500),0)</f>
        <v>0</v>
      </c>
      <c r="J9">
        <f t="shared" si="3"/>
        <v>0</v>
      </c>
      <c r="K9">
        <f t="shared" si="3"/>
        <v>0</v>
      </c>
      <c r="M9" t="str">
        <f>IF(M12=2,M10,IF(M12=1,M11,0))</f>
        <v>Old</v>
      </c>
    </row>
    <row r="10" spans="1:13" hidden="1" x14ac:dyDescent="0.25">
      <c r="A10" t="s">
        <v>956</v>
      </c>
      <c r="B10">
        <f t="shared" ref="B10:E10" si="4">ROUND((IF($D$114&lt;5000001,0,(IF($D$114&lt;10000001,(MIN((B7*0.1),(($D$114-5000000)*0.7))),((IF($D$114&gt;10000001,(MIN((($D$114-10000000)*0.7+281250),(B7*0.15)))))))))),0)</f>
        <v>0</v>
      </c>
      <c r="C10">
        <f t="shared" si="4"/>
        <v>0</v>
      </c>
      <c r="D10">
        <f t="shared" si="4"/>
        <v>0</v>
      </c>
      <c r="E10">
        <f t="shared" si="4"/>
        <v>0</v>
      </c>
      <c r="F10" t="s">
        <v>903</v>
      </c>
      <c r="H10" t="s">
        <v>956</v>
      </c>
      <c r="I10">
        <f t="shared" ref="I10:L10" si="5">ROUND((IF($K$114&lt;5000001,0,(IF($K$114&lt;10000001,(MIN((I7*0.1),(($K$114-5000000)*0.7))),((IF($K$114&gt;10000001,(MIN((($K$114-10000000)*0.7+281250),(I7*0.15)))))))))),0)</f>
        <v>0</v>
      </c>
      <c r="J10">
        <f t="shared" si="5"/>
        <v>0</v>
      </c>
      <c r="K10">
        <f t="shared" si="5"/>
        <v>0</v>
      </c>
      <c r="L10">
        <f t="shared" si="5"/>
        <v>0</v>
      </c>
      <c r="M10" t="s">
        <v>903</v>
      </c>
    </row>
    <row r="11" spans="1:13" hidden="1" x14ac:dyDescent="0.25">
      <c r="A11" t="s">
        <v>957</v>
      </c>
      <c r="B11">
        <v>0</v>
      </c>
      <c r="C11">
        <v>0</v>
      </c>
      <c r="D11">
        <v>0</v>
      </c>
      <c r="E11">
        <v>0</v>
      </c>
      <c r="F11" t="s">
        <v>958</v>
      </c>
      <c r="H11" t="s">
        <v>957</v>
      </c>
      <c r="I11">
        <v>0</v>
      </c>
      <c r="J11">
        <v>0</v>
      </c>
      <c r="K11">
        <v>0</v>
      </c>
      <c r="L11">
        <v>0</v>
      </c>
      <c r="M11" t="s">
        <v>958</v>
      </c>
    </row>
    <row r="12" spans="1:13" hidden="1" x14ac:dyDescent="0.25">
      <c r="A12" t="s">
        <v>959</v>
      </c>
      <c r="B12">
        <f t="shared" ref="B12:E12" si="6">ROUND((B7+B10-B9)*4%,0)</f>
        <v>0</v>
      </c>
      <c r="C12">
        <f t="shared" si="6"/>
        <v>0</v>
      </c>
      <c r="D12">
        <f t="shared" si="6"/>
        <v>0</v>
      </c>
      <c r="E12">
        <f t="shared" si="6"/>
        <v>0</v>
      </c>
      <c r="F12" t="str">
        <f>DATA!G71</f>
        <v>New Tax Regime</v>
      </c>
      <c r="H12" t="s">
        <v>960</v>
      </c>
      <c r="I12">
        <f t="shared" ref="I12:L12" si="7">ROUND((I7+I10-I9)*4%,0)</f>
        <v>0</v>
      </c>
      <c r="J12">
        <f t="shared" si="7"/>
        <v>0</v>
      </c>
      <c r="K12">
        <f t="shared" si="7"/>
        <v>0</v>
      </c>
      <c r="L12">
        <f t="shared" si="7"/>
        <v>0</v>
      </c>
      <c r="M12">
        <f>IF(DATA!G71=DATA!$BF$4,1,2)</f>
        <v>2</v>
      </c>
    </row>
    <row r="13" spans="1:13" hidden="1" x14ac:dyDescent="0.25">
      <c r="A13" t="s">
        <v>961</v>
      </c>
      <c r="B13">
        <v>0</v>
      </c>
      <c r="C13">
        <v>0</v>
      </c>
      <c r="D13">
        <v>0</v>
      </c>
      <c r="E13">
        <v>0</v>
      </c>
      <c r="F13">
        <f>IF(F12="New Tax Regime",F14,IF(F12="Old Tax Regime",F14))</f>
        <v>0</v>
      </c>
      <c r="H13" t="s">
        <v>961</v>
      </c>
      <c r="I13">
        <v>0</v>
      </c>
      <c r="J13">
        <v>0</v>
      </c>
      <c r="M13">
        <f>IF(M12=2,M15,IF(M12=1,M14))</f>
        <v>0</v>
      </c>
    </row>
    <row r="14" spans="1:13" hidden="1" x14ac:dyDescent="0.25">
      <c r="A14" t="s">
        <v>962</v>
      </c>
      <c r="B14">
        <f t="shared" ref="B14:C14" si="8">ROUND((B7-B9+B10+B12),0)</f>
        <v>0</v>
      </c>
      <c r="C14">
        <f t="shared" si="8"/>
        <v>0</v>
      </c>
      <c r="D14">
        <f t="shared" ref="D14:E14" si="9">ROUND((D7-D9+D12),0)</f>
        <v>0</v>
      </c>
      <c r="E14">
        <f t="shared" si="9"/>
        <v>0</v>
      </c>
      <c r="F14">
        <f>IF($F$226="Male",B14,IF($F$226="female",C14,IF($F$226="Sr.citizen",D14,IF($F$226="above 80 years",E14,0))))</f>
        <v>0</v>
      </c>
      <c r="H14" t="s">
        <v>962</v>
      </c>
      <c r="I14">
        <f t="shared" ref="I14:L14" si="10">ROUND((I7-I9+I10+I12),0)</f>
        <v>0</v>
      </c>
      <c r="J14">
        <f t="shared" si="10"/>
        <v>0</v>
      </c>
      <c r="K14">
        <f t="shared" si="10"/>
        <v>0</v>
      </c>
      <c r="L14">
        <f t="shared" si="10"/>
        <v>0</v>
      </c>
      <c r="M14">
        <f>IF($F$226="Male",I14,IF($F$226="female",J14,IF($F$226="Sr.citizen",K14,IF($F$226="above 80 years",L14,0))))</f>
        <v>0</v>
      </c>
    </row>
    <row r="15" spans="1:13" hidden="1" x14ac:dyDescent="0.25">
      <c r="A15" t="s">
        <v>963</v>
      </c>
      <c r="B15">
        <v>0</v>
      </c>
      <c r="C15">
        <v>0</v>
      </c>
      <c r="D15">
        <v>0</v>
      </c>
      <c r="E15">
        <v>0</v>
      </c>
      <c r="F15">
        <f>F2</f>
        <v>0</v>
      </c>
      <c r="H15" t="s">
        <v>963</v>
      </c>
      <c r="I15">
        <v>0</v>
      </c>
      <c r="J15">
        <v>0</v>
      </c>
      <c r="K15">
        <v>0</v>
      </c>
      <c r="L15">
        <v>0</v>
      </c>
      <c r="M15">
        <f>IF($F$225="Male",I15,IF($F$225="female",J15,IF($F$225="Sr.citizen",K15,IF($F$225="above 80 years",L15,0))))</f>
        <v>0</v>
      </c>
    </row>
    <row r="16" spans="1:13" hidden="1" x14ac:dyDescent="0.25"/>
    <row r="17" spans="1:13" hidden="1" x14ac:dyDescent="0.25"/>
    <row r="18" spans="1:13" hidden="1" x14ac:dyDescent="0.25">
      <c r="A18" t="s">
        <v>964</v>
      </c>
      <c r="C18" t="s">
        <v>965</v>
      </c>
      <c r="G18" t="s">
        <v>531</v>
      </c>
      <c r="H18" t="s">
        <v>966</v>
      </c>
      <c r="I18" t="s">
        <v>967</v>
      </c>
      <c r="M18" t="s">
        <v>968</v>
      </c>
    </row>
    <row r="19" spans="1:13" hidden="1" x14ac:dyDescent="0.25">
      <c r="A19" s="149">
        <f>DATA!D71</f>
        <v>0</v>
      </c>
      <c r="B19">
        <f t="shared" ref="B19:B20" si="11">IF(A19&gt;300000,K19,0)</f>
        <v>0</v>
      </c>
      <c r="C19">
        <f t="shared" ref="C19:C20" si="12">IF(A19&gt;600000,L19,R19)</f>
        <v>0</v>
      </c>
      <c r="D19">
        <f t="shared" ref="D19:D20" si="13">IF(A19&gt;900000,M19,S19)</f>
        <v>0</v>
      </c>
      <c r="E19">
        <f t="shared" ref="E19:E20" si="14">IF(A19&gt;1200000,N19,T19)</f>
        <v>0</v>
      </c>
      <c r="F19">
        <f t="shared" ref="F19:F20" si="15">IF(A19&gt;1500000,O19,U19)</f>
        <v>0</v>
      </c>
      <c r="G19">
        <f t="shared" ref="G19:G20" si="16">ROUND(SUM(B19:F19),0)</f>
        <v>0</v>
      </c>
      <c r="H19">
        <f t="shared" ref="H19:H20" si="17">IF(C19&gt;10000,0,SUM(B19,C19))</f>
        <v>0</v>
      </c>
      <c r="I19">
        <f t="shared" ref="I19:I20" si="18">G19-H19</f>
        <v>0</v>
      </c>
      <c r="K19">
        <f t="shared" ref="K19:K20" si="19">IF(A19&gt;600000,(600000-300000)*5/100,(A19-300000)*5/100)</f>
        <v>-15000</v>
      </c>
      <c r="L19">
        <f t="shared" ref="L19:L20" si="20">IF(A19&gt;900000,(900000-600000)*10/100,(A19-600000)*10/100)</f>
        <v>-60000</v>
      </c>
      <c r="M19">
        <f t="shared" ref="M19:M20" si="21">IF(A19&gt;1200000,(1200000-900000)*15/100,(A19-900000)*15/100)</f>
        <v>-135000</v>
      </c>
    </row>
    <row r="20" spans="1:13" hidden="1" x14ac:dyDescent="0.25">
      <c r="A20" s="149">
        <f>DATA!D71+DATA!E71</f>
        <v>0</v>
      </c>
      <c r="B20">
        <f t="shared" si="11"/>
        <v>0</v>
      </c>
      <c r="C20">
        <f t="shared" si="12"/>
        <v>0</v>
      </c>
      <c r="D20">
        <f t="shared" si="13"/>
        <v>0</v>
      </c>
      <c r="E20">
        <f t="shared" si="14"/>
        <v>0</v>
      </c>
      <c r="F20">
        <f t="shared" si="15"/>
        <v>0</v>
      </c>
      <c r="G20">
        <f t="shared" si="16"/>
        <v>0</v>
      </c>
      <c r="H20">
        <f t="shared" si="17"/>
        <v>0</v>
      </c>
      <c r="I20">
        <f t="shared" si="18"/>
        <v>0</v>
      </c>
      <c r="K20">
        <f t="shared" si="19"/>
        <v>-15000</v>
      </c>
      <c r="L20">
        <f t="shared" si="20"/>
        <v>-60000</v>
      </c>
      <c r="M20">
        <f t="shared" si="21"/>
        <v>-135000</v>
      </c>
    </row>
    <row r="21" spans="1:13" hidden="1" x14ac:dyDescent="0.25">
      <c r="A21" s="1" t="s">
        <v>952</v>
      </c>
      <c r="B21" s="1"/>
      <c r="C21" s="1"/>
      <c r="D21" s="1"/>
      <c r="E21" s="1"/>
      <c r="F21" s="1"/>
      <c r="G21" s="487"/>
      <c r="H21" s="1" t="s">
        <v>952</v>
      </c>
      <c r="I21" s="1"/>
      <c r="J21" s="1"/>
      <c r="K21" s="1"/>
      <c r="L21" s="1"/>
      <c r="M21" s="1"/>
    </row>
    <row r="22" spans="1:13" hidden="1" x14ac:dyDescent="0.25">
      <c r="A22" s="1" t="s">
        <v>969</v>
      </c>
      <c r="B22" s="1"/>
      <c r="C22" s="1"/>
      <c r="D22" s="1"/>
      <c r="E22" s="684">
        <f>DATA!D71</f>
        <v>0</v>
      </c>
      <c r="F22" s="1"/>
      <c r="G22" s="487"/>
      <c r="H22" s="1" t="s">
        <v>969</v>
      </c>
      <c r="I22" s="1"/>
      <c r="J22" s="1"/>
      <c r="K22" s="1"/>
      <c r="L22" s="684">
        <f>DATA!D71+DATA!E71</f>
        <v>0</v>
      </c>
      <c r="M22" s="1"/>
    </row>
    <row r="23" spans="1:13" hidden="1" x14ac:dyDescent="0.25">
      <c r="A23" s="1" t="s">
        <v>970</v>
      </c>
      <c r="B23" s="1" t="s">
        <v>971</v>
      </c>
      <c r="C23" s="1" t="s">
        <v>972</v>
      </c>
      <c r="D23" s="1" t="s">
        <v>973</v>
      </c>
      <c r="E23" s="1" t="s">
        <v>974</v>
      </c>
      <c r="F23" s="1"/>
      <c r="G23" s="487"/>
      <c r="H23" s="1" t="s">
        <v>970</v>
      </c>
      <c r="I23" s="1" t="s">
        <v>971</v>
      </c>
      <c r="J23" s="1" t="s">
        <v>972</v>
      </c>
      <c r="K23" s="1" t="s">
        <v>973</v>
      </c>
      <c r="L23" s="1" t="s">
        <v>974</v>
      </c>
      <c r="M23" s="1"/>
    </row>
    <row r="24" spans="1:13" hidden="1" x14ac:dyDescent="0.25">
      <c r="A24" s="1">
        <v>0</v>
      </c>
      <c r="B24" s="1">
        <v>300000</v>
      </c>
      <c r="C24" s="1">
        <v>0</v>
      </c>
      <c r="D24" s="1">
        <f>IF(E22&lt;=B24,B24-0,B24)</f>
        <v>300000</v>
      </c>
      <c r="E24" s="1">
        <f>D24*C24</f>
        <v>0</v>
      </c>
      <c r="F24" s="1"/>
      <c r="G24" s="487"/>
      <c r="H24" s="1">
        <v>0</v>
      </c>
      <c r="I24" s="1">
        <v>300000</v>
      </c>
      <c r="J24" s="1">
        <v>0</v>
      </c>
      <c r="K24" s="1">
        <f>IF(L22&lt;=I24,I24-0,I24)</f>
        <v>300000</v>
      </c>
      <c r="L24" s="1">
        <f>K24*J24</f>
        <v>0</v>
      </c>
      <c r="M24" s="1"/>
    </row>
    <row r="25" spans="1:13" hidden="1" x14ac:dyDescent="0.25">
      <c r="A25" s="1">
        <v>300000</v>
      </c>
      <c r="B25" s="1">
        <v>600000</v>
      </c>
      <c r="C25" s="1">
        <v>0.05</v>
      </c>
      <c r="D25" s="1">
        <f t="shared" ref="D25:D28" si="22">MAX(IF($E$75&lt;=B25,$E$75-A25,B25-A25),IF($E$75&gt;B24,,0))</f>
        <v>300000</v>
      </c>
      <c r="E25" s="1">
        <f>IF(E22&lt;=700000,0,D25*C25)</f>
        <v>0</v>
      </c>
      <c r="F25" s="1"/>
      <c r="G25" s="487"/>
      <c r="H25" s="1">
        <v>300000</v>
      </c>
      <c r="I25" s="1">
        <v>600000</v>
      </c>
      <c r="J25" s="1">
        <v>0.05</v>
      </c>
      <c r="K25" s="1">
        <f t="shared" ref="K25:K26" si="23">MAX(IF($E$75&lt;=I25,$E$75-H25,I25-H25),IF($E$75&gt;I24,,0))</f>
        <v>300000</v>
      </c>
      <c r="L25" s="1">
        <f>IF(L22&lt;=700000,0,K25*J25)</f>
        <v>0</v>
      </c>
      <c r="M25" s="1"/>
    </row>
    <row r="26" spans="1:13" hidden="1" x14ac:dyDescent="0.25">
      <c r="A26" s="1">
        <v>600000</v>
      </c>
      <c r="B26" s="1">
        <v>900000</v>
      </c>
      <c r="C26" s="1">
        <v>0.1</v>
      </c>
      <c r="D26" s="1">
        <f t="shared" si="22"/>
        <v>300000</v>
      </c>
      <c r="E26" s="1">
        <f>IF(E22&lt;=700000,0,D26*C26)</f>
        <v>0</v>
      </c>
      <c r="F26" s="1"/>
      <c r="G26" s="487"/>
      <c r="H26" s="1">
        <v>600000</v>
      </c>
      <c r="I26" s="1">
        <v>900000</v>
      </c>
      <c r="J26" s="1">
        <v>0.1</v>
      </c>
      <c r="K26" s="1">
        <f t="shared" si="23"/>
        <v>300000</v>
      </c>
      <c r="L26" s="1">
        <f>IF(L22&lt;=700000,0,K26*J26)</f>
        <v>0</v>
      </c>
      <c r="M26" s="1"/>
    </row>
    <row r="27" spans="1:13" hidden="1" x14ac:dyDescent="0.25">
      <c r="A27" s="1">
        <v>900000</v>
      </c>
      <c r="B27" s="1">
        <v>1200000</v>
      </c>
      <c r="C27" s="1">
        <v>0.15</v>
      </c>
      <c r="D27" s="1">
        <f t="shared" si="22"/>
        <v>300000</v>
      </c>
      <c r="E27" s="1">
        <f t="shared" ref="E27:E29" si="24">D27*C27</f>
        <v>45000</v>
      </c>
      <c r="F27" s="1"/>
      <c r="G27" s="487"/>
      <c r="H27" s="1">
        <v>900000</v>
      </c>
      <c r="I27" s="1">
        <v>1200000</v>
      </c>
      <c r="J27" s="1">
        <v>0.15</v>
      </c>
      <c r="K27" s="1">
        <f t="shared" ref="K27:K28" si="25">MAX(IF($L$75&lt;=I27,$L$75-H27,I27-H27),IF($L$75&gt;I26,,0))</f>
        <v>300000</v>
      </c>
      <c r="L27" s="1">
        <f t="shared" ref="L27:L29" si="26">K27*J27</f>
        <v>45000</v>
      </c>
      <c r="M27" s="1"/>
    </row>
    <row r="28" spans="1:13" hidden="1" x14ac:dyDescent="0.25">
      <c r="A28" s="1">
        <v>1200000</v>
      </c>
      <c r="B28" s="1">
        <v>1500000</v>
      </c>
      <c r="C28" s="1">
        <v>0.2</v>
      </c>
      <c r="D28" s="1">
        <f t="shared" si="22"/>
        <v>300000</v>
      </c>
      <c r="E28" s="1">
        <f t="shared" si="24"/>
        <v>60000</v>
      </c>
      <c r="F28" s="1"/>
      <c r="G28" s="487"/>
      <c r="H28" s="1">
        <v>1200000</v>
      </c>
      <c r="I28" s="1">
        <v>1500000</v>
      </c>
      <c r="J28" s="1">
        <v>0.2</v>
      </c>
      <c r="K28" s="1">
        <f t="shared" si="25"/>
        <v>300000</v>
      </c>
      <c r="L28" s="1">
        <f t="shared" si="26"/>
        <v>60000</v>
      </c>
      <c r="M28" s="1"/>
    </row>
    <row r="29" spans="1:13" hidden="1" x14ac:dyDescent="0.25">
      <c r="A29" s="1">
        <v>1500000</v>
      </c>
      <c r="B29" s="1">
        <v>0</v>
      </c>
      <c r="C29" s="1">
        <v>0.3</v>
      </c>
      <c r="D29" s="1">
        <f>MAX(IF($E$75&lt;=B29,$E$75-A29,B29-A29),IF($E$75&gt;B28,E22-B28,0))</f>
        <v>-1500000</v>
      </c>
      <c r="E29" s="1">
        <f t="shared" si="24"/>
        <v>-450000</v>
      </c>
      <c r="F29" s="1"/>
      <c r="G29" s="487"/>
      <c r="H29" s="1">
        <v>1500000</v>
      </c>
      <c r="I29" s="1">
        <v>0</v>
      </c>
      <c r="J29" s="1">
        <v>0.3</v>
      </c>
      <c r="K29" s="1">
        <f>MAX(IF($E$75&lt;=I29,$E$75-H29,I29-H29),IF($E$75&gt;I28,L22-I28,0))</f>
        <v>-1500000</v>
      </c>
      <c r="L29" s="1">
        <f t="shared" si="26"/>
        <v>-450000</v>
      </c>
      <c r="M29" s="1"/>
    </row>
    <row r="30" spans="1:13" hidden="1" x14ac:dyDescent="0.25">
      <c r="A30" s="1"/>
      <c r="B30" s="1"/>
      <c r="C30" s="1"/>
      <c r="D30" s="1" t="s">
        <v>113</v>
      </c>
      <c r="E30" s="1">
        <f>$G$72</f>
        <v>0</v>
      </c>
      <c r="F30" s="1"/>
      <c r="G30" s="487"/>
      <c r="H30" s="1"/>
      <c r="I30" s="1"/>
      <c r="J30" s="1"/>
      <c r="K30" s="1" t="s">
        <v>113</v>
      </c>
      <c r="L30" s="1">
        <f>$G$73</f>
        <v>0</v>
      </c>
      <c r="M30" s="1"/>
    </row>
    <row r="31" spans="1:13" hidden="1" x14ac:dyDescent="0.25">
      <c r="A31" s="1"/>
      <c r="B31" s="1"/>
      <c r="C31" s="1"/>
      <c r="D31" s="1" t="s">
        <v>975</v>
      </c>
      <c r="E31" s="1">
        <f>SUM(E30)</f>
        <v>0</v>
      </c>
      <c r="F31" s="1"/>
      <c r="G31" s="487"/>
      <c r="H31" s="1"/>
      <c r="I31" s="1"/>
      <c r="J31" s="1"/>
      <c r="K31" s="1" t="s">
        <v>975</v>
      </c>
      <c r="L31" s="1">
        <f>SUM(L30)</f>
        <v>0</v>
      </c>
      <c r="M31" s="1"/>
    </row>
    <row r="32" spans="1:13" hidden="1" x14ac:dyDescent="0.25">
      <c r="A32" s="1"/>
      <c r="B32" s="1"/>
      <c r="C32" s="1"/>
      <c r="D32" s="1" t="s">
        <v>966</v>
      </c>
      <c r="E32" s="1">
        <f>H19</f>
        <v>0</v>
      </c>
      <c r="F32" s="1"/>
      <c r="G32" s="487"/>
      <c r="H32" s="1"/>
      <c r="I32" s="1"/>
      <c r="J32" s="1"/>
      <c r="K32" s="1" t="s">
        <v>966</v>
      </c>
      <c r="L32" s="1">
        <f>H20</f>
        <v>0</v>
      </c>
      <c r="M32" s="1"/>
    </row>
    <row r="33" spans="1:13" hidden="1" x14ac:dyDescent="0.25">
      <c r="A33" s="1"/>
      <c r="B33" s="1"/>
      <c r="C33" s="1"/>
      <c r="D33" s="1" t="s">
        <v>976</v>
      </c>
      <c r="E33" s="1">
        <f>ROUND((E31-E32)*4%,0)</f>
        <v>0</v>
      </c>
      <c r="F33" s="1"/>
      <c r="G33" s="487"/>
      <c r="H33" s="1"/>
      <c r="I33" s="1"/>
      <c r="J33" s="1"/>
      <c r="K33" s="1" t="s">
        <v>976</v>
      </c>
      <c r="L33" s="1">
        <f>ROUND(4%*L31,0)</f>
        <v>0</v>
      </c>
      <c r="M33" s="1"/>
    </row>
    <row r="34" spans="1:13" hidden="1" x14ac:dyDescent="0.25">
      <c r="A34" s="1"/>
      <c r="B34" s="1"/>
      <c r="C34" s="1"/>
      <c r="D34" s="1" t="s">
        <v>977</v>
      </c>
      <c r="E34" s="1">
        <f>ROUND(E31+E33,0)</f>
        <v>0</v>
      </c>
      <c r="F34" s="1">
        <f>E34</f>
        <v>0</v>
      </c>
      <c r="G34" s="487"/>
      <c r="H34" s="1"/>
      <c r="I34" s="1"/>
      <c r="J34" s="1"/>
      <c r="K34" s="1" t="s">
        <v>977</v>
      </c>
      <c r="L34" s="1">
        <f>L31+L33</f>
        <v>0</v>
      </c>
      <c r="M34" s="1">
        <f>ROUND(L34,0)</f>
        <v>0</v>
      </c>
    </row>
    <row r="35" spans="1:13" hidden="1" x14ac:dyDescent="0.25">
      <c r="A35" s="1" t="s">
        <v>904</v>
      </c>
      <c r="B35" s="1"/>
      <c r="C35" s="1"/>
      <c r="D35" s="1"/>
      <c r="E35" s="1"/>
      <c r="F35" s="1"/>
      <c r="G35" s="487"/>
      <c r="H35" s="1" t="s">
        <v>905</v>
      </c>
      <c r="I35" s="1"/>
      <c r="J35" s="1"/>
      <c r="K35" s="1"/>
      <c r="L35" s="1"/>
      <c r="M35" s="1"/>
    </row>
    <row r="36" spans="1:13" hidden="1" x14ac:dyDescent="0.25">
      <c r="A36" s="1" t="s">
        <v>952</v>
      </c>
      <c r="B36" s="1" t="s">
        <v>907</v>
      </c>
      <c r="C36" s="1"/>
      <c r="D36" s="684">
        <f>DATA!D71</f>
        <v>0</v>
      </c>
      <c r="E36" s="1" t="s">
        <v>908</v>
      </c>
      <c r="F36" s="1"/>
      <c r="G36" s="487"/>
      <c r="H36" s="1" t="s">
        <v>952</v>
      </c>
      <c r="I36" s="1" t="s">
        <v>907</v>
      </c>
      <c r="J36" s="1"/>
      <c r="K36" s="684">
        <f>D36+DATA!E71</f>
        <v>0</v>
      </c>
      <c r="L36" s="1" t="s">
        <v>908</v>
      </c>
      <c r="M36" s="1"/>
    </row>
    <row r="37" spans="1:13" hidden="1" x14ac:dyDescent="0.25">
      <c r="A37" s="1" t="s">
        <v>953</v>
      </c>
      <c r="B37" s="1" t="s">
        <v>855</v>
      </c>
      <c r="C37" s="1" t="s">
        <v>856</v>
      </c>
      <c r="D37" s="1" t="s">
        <v>857</v>
      </c>
      <c r="E37" s="1" t="s">
        <v>858</v>
      </c>
      <c r="F37" s="1"/>
      <c r="G37" s="487"/>
      <c r="H37" s="1" t="s">
        <v>953</v>
      </c>
      <c r="I37" s="1" t="s">
        <v>855</v>
      </c>
      <c r="J37" s="1" t="s">
        <v>856</v>
      </c>
      <c r="K37" s="1" t="s">
        <v>857</v>
      </c>
      <c r="L37" s="1" t="s">
        <v>858</v>
      </c>
      <c r="M37" s="1"/>
    </row>
    <row r="38" spans="1:13" hidden="1" x14ac:dyDescent="0.25">
      <c r="A38" s="1" t="s">
        <v>910</v>
      </c>
      <c r="B38" s="1" t="s">
        <v>862</v>
      </c>
      <c r="C38" s="1" t="s">
        <v>863</v>
      </c>
      <c r="D38" s="1">
        <v>300000</v>
      </c>
      <c r="E38" s="1">
        <v>500000</v>
      </c>
      <c r="F38" s="1"/>
      <c r="G38" s="487"/>
      <c r="H38" s="1" t="s">
        <v>910</v>
      </c>
      <c r="I38" s="1" t="s">
        <v>862</v>
      </c>
      <c r="J38" s="1" t="s">
        <v>863</v>
      </c>
      <c r="K38" s="1">
        <v>300000</v>
      </c>
      <c r="L38" s="1">
        <v>500000</v>
      </c>
      <c r="M38" s="1"/>
    </row>
    <row r="39" spans="1:13" hidden="1" x14ac:dyDescent="0.25">
      <c r="A39" s="1" t="s">
        <v>954</v>
      </c>
      <c r="B39" s="1">
        <f t="shared" ref="B39:E39" si="27">IF(AND($D$89&gt;=250000,($D$89&lt;500000)),($D$89-250000)*0.05)+IF(AND($D$89&gt;=500000,$D$89&lt;1000000),(12500+($D$89-500000)*0.2))+IF($D$89&gt;=1000000,(112500+($D$89-1000000)*0.3))</f>
        <v>0</v>
      </c>
      <c r="C39" s="1">
        <f t="shared" si="27"/>
        <v>0</v>
      </c>
      <c r="D39" s="1">
        <f t="shared" si="27"/>
        <v>0</v>
      </c>
      <c r="E39" s="1">
        <f t="shared" si="27"/>
        <v>0</v>
      </c>
      <c r="F39" s="1"/>
      <c r="G39" s="487"/>
      <c r="H39" s="1" t="s">
        <v>954</v>
      </c>
      <c r="I39" s="1">
        <f t="shared" ref="I39:L39" si="28">IF(AND($K$89&gt;=250000,($K$89&lt;500000)),($K$89-250000)*0.05)+IF(AND($K$89&gt;=500000,$K$89&lt;1000000),(12500+($K$89-500000)*0.2))+IF($K$89&gt;=1000000,(112500+($K$89-1000000)*0.3))</f>
        <v>0</v>
      </c>
      <c r="J39" s="1">
        <f t="shared" si="28"/>
        <v>0</v>
      </c>
      <c r="K39" s="1">
        <f t="shared" si="28"/>
        <v>0</v>
      </c>
      <c r="L39" s="1">
        <f t="shared" si="28"/>
        <v>0</v>
      </c>
      <c r="M39" s="1"/>
    </row>
    <row r="40" spans="1:13" hidden="1" x14ac:dyDescent="0.25">
      <c r="A40" s="1" t="s">
        <v>955</v>
      </c>
      <c r="B40" s="1">
        <v>0</v>
      </c>
      <c r="C40" s="1">
        <v>0</v>
      </c>
      <c r="D40" s="1">
        <v>0</v>
      </c>
      <c r="E40" s="1">
        <v>0</v>
      </c>
      <c r="F40" s="1"/>
      <c r="G40" s="487"/>
      <c r="H40" s="1" t="s">
        <v>955</v>
      </c>
      <c r="I40" s="1">
        <v>0</v>
      </c>
      <c r="J40" s="1">
        <v>0</v>
      </c>
      <c r="K40" s="1">
        <v>0</v>
      </c>
      <c r="L40" s="1">
        <v>0</v>
      </c>
      <c r="M40" s="1"/>
    </row>
    <row r="41" spans="1:13" hidden="1" x14ac:dyDescent="0.25">
      <c r="A41" s="1" t="s">
        <v>860</v>
      </c>
      <c r="B41" s="1">
        <f t="shared" ref="B41:E41" si="29">IF($D$89&lt;500001,MIN(B39,12500),0)</f>
        <v>0</v>
      </c>
      <c r="C41" s="1">
        <f t="shared" si="29"/>
        <v>0</v>
      </c>
      <c r="D41" s="1">
        <f t="shared" si="29"/>
        <v>0</v>
      </c>
      <c r="E41" s="1">
        <f t="shared" si="29"/>
        <v>0</v>
      </c>
      <c r="F41" s="1"/>
      <c r="G41" s="487"/>
      <c r="H41" s="1" t="s">
        <v>860</v>
      </c>
      <c r="I41" s="1">
        <f t="shared" ref="I41:K41" si="30">IF($K$89&lt;500001,MIN(I39,12500),0)</f>
        <v>0</v>
      </c>
      <c r="J41" s="1">
        <f t="shared" si="30"/>
        <v>0</v>
      </c>
      <c r="K41" s="1">
        <f t="shared" si="30"/>
        <v>0</v>
      </c>
      <c r="L41" s="1"/>
      <c r="M41" s="1"/>
    </row>
    <row r="42" spans="1:13" hidden="1" x14ac:dyDescent="0.25">
      <c r="A42" s="1" t="s">
        <v>956</v>
      </c>
      <c r="B42" s="1">
        <f>ROUND((IF($D$89&lt;5000001,0,(IF($D$89&lt;10000001,(MIN((B39*0.1),(($D$89-5000000)*0.7))),((IF($D$89&gt;10000001,(MIN((($D$89-10000000)*0.7+281250),(B39*0.15)))))))))),0)</f>
        <v>0</v>
      </c>
      <c r="C42" s="1">
        <f t="shared" ref="C42:E42" si="31">ROUND((IF($D$89&lt;5000001,0,(IF($D$89&lt;10000001,(MIN((C39*0.1),(($D$89-5000000)*0.7))),((IF($D$89&gt;10000001,(MIN((($D$89-10000000)*0.7+281250),(C39*0.15)))))))))),0)</f>
        <v>0</v>
      </c>
      <c r="D42" s="1">
        <f t="shared" si="31"/>
        <v>0</v>
      </c>
      <c r="E42" s="1">
        <f t="shared" si="31"/>
        <v>0</v>
      </c>
      <c r="F42" s="1"/>
      <c r="G42" s="487"/>
      <c r="H42" s="1" t="s">
        <v>956</v>
      </c>
      <c r="I42" s="1">
        <f t="shared" ref="I42:L42" si="32">ROUND((IF($K$89&lt;5000001,0,(IF($K$89&lt;10000001,(MIN((I39*0.1),(($K$89-5000000)*0.7))),((IF($K$89&gt;10000001,(MIN((($K$89-10000000)*0.7+281250),(I39*0.15)))))))))),0)</f>
        <v>0</v>
      </c>
      <c r="J42" s="1">
        <f t="shared" si="32"/>
        <v>0</v>
      </c>
      <c r="K42" s="1">
        <f t="shared" si="32"/>
        <v>0</v>
      </c>
      <c r="L42" s="1">
        <f t="shared" si="32"/>
        <v>0</v>
      </c>
      <c r="M42" s="1"/>
    </row>
    <row r="43" spans="1:13" hidden="1" x14ac:dyDescent="0.25">
      <c r="A43" s="1" t="s">
        <v>957</v>
      </c>
      <c r="B43" s="1">
        <v>0</v>
      </c>
      <c r="C43" s="1">
        <v>0</v>
      </c>
      <c r="D43" s="1">
        <v>0</v>
      </c>
      <c r="E43" s="1">
        <v>0</v>
      </c>
      <c r="F43" s="1" t="str">
        <f>DATA!G71</f>
        <v>New Tax Regime</v>
      </c>
      <c r="G43" s="487"/>
      <c r="H43" s="1" t="s">
        <v>957</v>
      </c>
      <c r="I43" s="1">
        <v>0</v>
      </c>
      <c r="J43" s="1">
        <v>0</v>
      </c>
      <c r="K43" s="1">
        <v>0</v>
      </c>
      <c r="L43" s="1">
        <v>0</v>
      </c>
      <c r="M43" s="1" t="str">
        <f>DATA!G71</f>
        <v>New Tax Regime</v>
      </c>
    </row>
    <row r="44" spans="1:13" hidden="1" x14ac:dyDescent="0.25">
      <c r="A44" s="1" t="s">
        <v>959</v>
      </c>
      <c r="B44" s="1">
        <f t="shared" ref="B44:E44" si="33">ROUND((B39+B42-B41)*4%,0)</f>
        <v>0</v>
      </c>
      <c r="C44" s="1">
        <f t="shared" si="33"/>
        <v>0</v>
      </c>
      <c r="D44" s="1">
        <f t="shared" si="33"/>
        <v>0</v>
      </c>
      <c r="E44" s="1">
        <f t="shared" si="33"/>
        <v>0</v>
      </c>
      <c r="F44" s="1">
        <f>IF(F43="New Tax Regime",F34,IF(F43="Old Tax Regime",F46))</f>
        <v>0</v>
      </c>
      <c r="G44" s="487"/>
      <c r="H44" s="1" t="s">
        <v>960</v>
      </c>
      <c r="I44" s="1">
        <f t="shared" ref="I44:L44" si="34">ROUND((I39+I42-I41)*4%,0)</f>
        <v>0</v>
      </c>
      <c r="J44" s="1">
        <f t="shared" si="34"/>
        <v>0</v>
      </c>
      <c r="K44" s="1">
        <f t="shared" si="34"/>
        <v>0</v>
      </c>
      <c r="L44" s="1">
        <f t="shared" si="34"/>
        <v>0</v>
      </c>
      <c r="M44" s="1"/>
    </row>
    <row r="45" spans="1:13" hidden="1" x14ac:dyDescent="0.25">
      <c r="A45" s="1" t="s">
        <v>961</v>
      </c>
      <c r="B45" s="1">
        <v>0</v>
      </c>
      <c r="C45" s="1">
        <v>0</v>
      </c>
      <c r="D45" s="1">
        <v>0</v>
      </c>
      <c r="E45" s="1">
        <v>0</v>
      </c>
      <c r="F45" s="1" t="s">
        <v>776</v>
      </c>
      <c r="G45" s="487"/>
      <c r="H45" s="1" t="s">
        <v>961</v>
      </c>
      <c r="I45" s="1">
        <v>0</v>
      </c>
      <c r="J45" s="1">
        <v>0</v>
      </c>
      <c r="K45" s="1"/>
      <c r="L45" s="1"/>
      <c r="M45" s="1">
        <f>IF(M43="New Tax Regime",M34,IF(M43="Old Tax Regime",M46))</f>
        <v>0</v>
      </c>
    </row>
    <row r="46" spans="1:13" hidden="1" x14ac:dyDescent="0.25">
      <c r="A46" s="1" t="s">
        <v>962</v>
      </c>
      <c r="B46" s="1">
        <f t="shared" ref="B46:C46" si="35">ROUND((B39-B41+B42+B44),0)</f>
        <v>0</v>
      </c>
      <c r="C46" s="1">
        <f t="shared" si="35"/>
        <v>0</v>
      </c>
      <c r="D46" s="1">
        <f t="shared" ref="D46:E46" si="36">ROUND((D39-D41+D44),0)</f>
        <v>0</v>
      </c>
      <c r="E46" s="1">
        <f t="shared" si="36"/>
        <v>0</v>
      </c>
      <c r="F46" s="1">
        <f>IF($F$226="Male",B46,IF($F$226="female",C46,IF($F$226="Sr.citizen",D46,IF($F$226="above 80 years",E46,0))))</f>
        <v>0</v>
      </c>
      <c r="G46" s="487"/>
      <c r="H46" s="1" t="s">
        <v>962</v>
      </c>
      <c r="I46" s="1">
        <f t="shared" ref="I46:L46" si="37">ROUND((I39-I41+I42+I44),0)</f>
        <v>0</v>
      </c>
      <c r="J46" s="1">
        <f t="shared" si="37"/>
        <v>0</v>
      </c>
      <c r="K46" s="1">
        <f t="shared" si="37"/>
        <v>0</v>
      </c>
      <c r="L46" s="1">
        <f t="shared" si="37"/>
        <v>0</v>
      </c>
      <c r="M46" s="1">
        <f>IF($F$226="Male",I46,IF($F$226="female",J46,IF($F$226="Sr.citizen",K46,IF($F$226="above 80 years",L46,0))))</f>
        <v>0</v>
      </c>
    </row>
    <row r="47" spans="1:13" hidden="1" x14ac:dyDescent="0.25">
      <c r="A47" s="1" t="s">
        <v>963</v>
      </c>
      <c r="B47" s="1">
        <v>0</v>
      </c>
      <c r="C47" s="1">
        <v>0</v>
      </c>
      <c r="D47" s="1">
        <v>0</v>
      </c>
      <c r="E47" s="1">
        <v>0</v>
      </c>
      <c r="F47" s="1">
        <f>IF($F$211="Male",B47,IF($F$211="female",C47,IF($F$211="Sr.citizen",D47,IF($F$211="above 80 years",E47,0))))</f>
        <v>0</v>
      </c>
      <c r="G47" s="487"/>
      <c r="H47" s="1" t="s">
        <v>963</v>
      </c>
      <c r="I47" s="1">
        <v>0</v>
      </c>
      <c r="J47" s="1">
        <v>0</v>
      </c>
      <c r="K47" s="1">
        <v>0</v>
      </c>
      <c r="L47" s="1">
        <v>0</v>
      </c>
      <c r="M47" s="1">
        <f>M34</f>
        <v>0</v>
      </c>
    </row>
    <row r="48" spans="1:13" hidden="1" x14ac:dyDescent="0.25">
      <c r="A48" s="1"/>
      <c r="B48" s="1"/>
      <c r="C48" s="1"/>
      <c r="D48" s="1"/>
      <c r="E48" s="1"/>
      <c r="F48" s="1"/>
      <c r="G48" s="487"/>
      <c r="H48" s="1"/>
      <c r="I48" s="1"/>
      <c r="J48" s="1"/>
      <c r="K48" s="1"/>
      <c r="L48" s="1"/>
      <c r="M48" s="1"/>
    </row>
    <row r="49" spans="1:13" hidden="1" x14ac:dyDescent="0.25">
      <c r="A49" s="1">
        <v>0</v>
      </c>
      <c r="B49" s="1">
        <v>300000</v>
      </c>
      <c r="C49" s="1">
        <v>0</v>
      </c>
      <c r="D49" s="1">
        <f>IF(E47&lt;=B49,B49-0,B49)</f>
        <v>300000</v>
      </c>
      <c r="E49" s="1">
        <f>D49*C49</f>
        <v>0</v>
      </c>
      <c r="F49" s="1"/>
      <c r="G49" s="487"/>
      <c r="H49" s="1">
        <v>0</v>
      </c>
      <c r="I49" s="1">
        <v>300000</v>
      </c>
      <c r="J49" s="1">
        <v>0</v>
      </c>
      <c r="K49" s="1">
        <f>IF(L47&lt;=I49,I49-0,I49)</f>
        <v>300000</v>
      </c>
      <c r="L49" s="1">
        <f>K49*J49</f>
        <v>0</v>
      </c>
      <c r="M49" s="1"/>
    </row>
    <row r="50" spans="1:13" hidden="1" x14ac:dyDescent="0.25">
      <c r="A50" s="1">
        <v>300000</v>
      </c>
      <c r="B50" s="1">
        <v>600000</v>
      </c>
      <c r="C50" s="1">
        <v>0.05</v>
      </c>
      <c r="D50" s="1">
        <f t="shared" ref="D50:D53" si="38">MAX(IF($E$100&lt;=B50,$E$100-A50,B50-A50),IF($E$100&gt;B49,,0))</f>
        <v>200000</v>
      </c>
      <c r="E50" s="1">
        <f>IF(E47&lt;=700000,0,D50*C50)</f>
        <v>0</v>
      </c>
      <c r="F50" s="1"/>
      <c r="G50" s="487"/>
      <c r="H50" s="1">
        <v>300000</v>
      </c>
      <c r="I50" s="1">
        <v>600000</v>
      </c>
      <c r="J50" s="1">
        <v>0.05</v>
      </c>
      <c r="K50" s="1">
        <f t="shared" ref="K50:K53" si="39">MAX(IF($L$100&lt;=I50,$L$100-H50,I50-H50),IF($L$100&gt;I49,,0))</f>
        <v>200000</v>
      </c>
      <c r="L50" s="1">
        <f>IF(L47&lt;=700000,0,K50*J50)</f>
        <v>0</v>
      </c>
      <c r="M50" s="1"/>
    </row>
    <row r="51" spans="1:13" hidden="1" x14ac:dyDescent="0.25">
      <c r="A51" s="1">
        <v>600000</v>
      </c>
      <c r="B51" s="1">
        <v>900000</v>
      </c>
      <c r="C51" s="1">
        <v>0.1</v>
      </c>
      <c r="D51" s="1">
        <f t="shared" si="38"/>
        <v>0</v>
      </c>
      <c r="E51" s="1">
        <f>IF(E47&lt;=700000,0,D51*C51)</f>
        <v>0</v>
      </c>
      <c r="F51" s="1"/>
      <c r="G51" s="487"/>
      <c r="H51" s="1">
        <v>600000</v>
      </c>
      <c r="I51" s="1">
        <v>900000</v>
      </c>
      <c r="J51" s="1">
        <v>0.1</v>
      </c>
      <c r="K51" s="1">
        <f t="shared" si="39"/>
        <v>0</v>
      </c>
      <c r="L51" s="1">
        <f>IF(L47&lt;=700000,0,K51*J51)</f>
        <v>0</v>
      </c>
      <c r="M51" s="1"/>
    </row>
    <row r="52" spans="1:13" hidden="1" x14ac:dyDescent="0.25">
      <c r="A52" s="1">
        <v>900000</v>
      </c>
      <c r="B52" s="1">
        <v>1200000</v>
      </c>
      <c r="C52" s="1">
        <v>0.15</v>
      </c>
      <c r="D52" s="1">
        <f t="shared" si="38"/>
        <v>0</v>
      </c>
      <c r="E52" s="1">
        <f t="shared" ref="E52:E54" si="40">D52*C52</f>
        <v>0</v>
      </c>
      <c r="F52" s="1"/>
      <c r="G52" s="487"/>
      <c r="H52" s="1">
        <v>900000</v>
      </c>
      <c r="I52" s="1">
        <v>1200000</v>
      </c>
      <c r="J52" s="1">
        <v>0.15</v>
      </c>
      <c r="K52" s="1">
        <f t="shared" si="39"/>
        <v>0</v>
      </c>
      <c r="L52" s="1">
        <f t="shared" ref="L52:L54" si="41">K52*J52</f>
        <v>0</v>
      </c>
      <c r="M52" s="1"/>
    </row>
    <row r="53" spans="1:13" hidden="1" x14ac:dyDescent="0.25">
      <c r="A53" s="1">
        <v>1200000</v>
      </c>
      <c r="B53" s="1">
        <v>1500000</v>
      </c>
      <c r="C53" s="1">
        <v>0.2</v>
      </c>
      <c r="D53" s="1">
        <f t="shared" si="38"/>
        <v>0</v>
      </c>
      <c r="E53" s="1">
        <f t="shared" si="40"/>
        <v>0</v>
      </c>
      <c r="F53" s="1"/>
      <c r="G53" s="487"/>
      <c r="H53" s="1">
        <v>1200000</v>
      </c>
      <c r="I53" s="1">
        <v>1500000</v>
      </c>
      <c r="J53" s="1">
        <v>0.2</v>
      </c>
      <c r="K53" s="1">
        <f t="shared" si="39"/>
        <v>0</v>
      </c>
      <c r="L53" s="1">
        <f t="shared" si="41"/>
        <v>0</v>
      </c>
      <c r="M53" s="1"/>
    </row>
    <row r="54" spans="1:13" hidden="1" x14ac:dyDescent="0.25">
      <c r="A54" s="1">
        <v>1500000</v>
      </c>
      <c r="B54" s="1">
        <v>0</v>
      </c>
      <c r="C54" s="1">
        <v>0.3</v>
      </c>
      <c r="D54" s="1">
        <f>MAX(IF($E$100&lt;=B54,$E$100-A54,B54-A54),IF($E$100&gt;B53,E47-B53,0))</f>
        <v>0</v>
      </c>
      <c r="E54" s="1">
        <f t="shared" si="40"/>
        <v>0</v>
      </c>
      <c r="F54" s="1"/>
      <c r="G54" s="487"/>
      <c r="H54" s="1">
        <v>1500000</v>
      </c>
      <c r="I54" s="1">
        <v>0</v>
      </c>
      <c r="J54" s="1">
        <v>0.3</v>
      </c>
      <c r="K54" s="1">
        <f>MAX(IF($L$100&lt;=I54,$L$100-H54,I54-H54),IF($L$100&gt;I53,L47-I53,0))</f>
        <v>0</v>
      </c>
      <c r="L54" s="1">
        <f t="shared" si="41"/>
        <v>0</v>
      </c>
      <c r="M54" s="1"/>
    </row>
    <row r="55" spans="1:13" hidden="1" x14ac:dyDescent="0.25">
      <c r="A55" s="1"/>
      <c r="B55" s="1"/>
      <c r="C55" s="1"/>
      <c r="D55" s="1" t="s">
        <v>113</v>
      </c>
      <c r="E55" s="1">
        <f>SUM(E49:E54)</f>
        <v>0</v>
      </c>
      <c r="F55" s="1"/>
      <c r="G55" s="487"/>
      <c r="H55" s="1"/>
      <c r="I55" s="1"/>
      <c r="J55" s="1"/>
      <c r="K55" s="1" t="s">
        <v>113</v>
      </c>
      <c r="L55" s="1">
        <f>SUM(L49:L54)</f>
        <v>0</v>
      </c>
      <c r="M55" s="1"/>
    </row>
    <row r="56" spans="1:13" hidden="1" x14ac:dyDescent="0.25">
      <c r="A56" s="1"/>
      <c r="B56" s="1"/>
      <c r="C56" s="1"/>
      <c r="D56" s="1" t="s">
        <v>300</v>
      </c>
      <c r="E56" s="1">
        <v>0</v>
      </c>
      <c r="F56" s="1"/>
      <c r="G56" s="487"/>
      <c r="H56" s="1"/>
      <c r="I56" s="1"/>
      <c r="J56" s="1"/>
      <c r="K56" s="1" t="s">
        <v>300</v>
      </c>
      <c r="L56" s="1">
        <v>0</v>
      </c>
      <c r="M56" s="1"/>
    </row>
    <row r="57" spans="1:13" hidden="1" x14ac:dyDescent="0.25">
      <c r="A57" s="1"/>
      <c r="B57" s="1"/>
      <c r="C57" s="1"/>
      <c r="D57" s="1" t="s">
        <v>975</v>
      </c>
      <c r="E57" s="1">
        <f>SUM(E55:E56)</f>
        <v>0</v>
      </c>
      <c r="F57" s="1"/>
      <c r="G57" s="487"/>
      <c r="H57" s="1"/>
      <c r="I57" s="1"/>
      <c r="J57" s="1"/>
      <c r="K57" s="1" t="s">
        <v>975</v>
      </c>
      <c r="L57" s="1">
        <f>SUM(L55:L56)</f>
        <v>0</v>
      </c>
      <c r="M57" s="1"/>
    </row>
    <row r="58" spans="1:13" hidden="1" x14ac:dyDescent="0.25">
      <c r="A58" s="1"/>
      <c r="B58" s="1"/>
      <c r="C58" s="1"/>
      <c r="D58" s="1" t="s">
        <v>978</v>
      </c>
      <c r="E58" s="1">
        <f>4%*E57</f>
        <v>0</v>
      </c>
      <c r="F58" s="1"/>
      <c r="G58" s="487"/>
      <c r="H58" s="1"/>
      <c r="I58" s="1"/>
      <c r="J58" s="1"/>
      <c r="K58" s="1" t="s">
        <v>978</v>
      </c>
      <c r="L58" s="1">
        <f>4%*L57</f>
        <v>0</v>
      </c>
      <c r="M58" s="1"/>
    </row>
    <row r="59" spans="1:13" hidden="1" x14ac:dyDescent="0.25">
      <c r="A59" s="1"/>
      <c r="B59" s="1"/>
      <c r="C59" s="1"/>
      <c r="D59" s="1" t="s">
        <v>977</v>
      </c>
      <c r="E59" s="1">
        <f>E57+E58</f>
        <v>0</v>
      </c>
      <c r="F59" s="1">
        <f>E59</f>
        <v>0</v>
      </c>
      <c r="G59" s="487"/>
      <c r="H59" s="1"/>
      <c r="I59" s="1"/>
      <c r="J59" s="1"/>
      <c r="K59" s="1" t="s">
        <v>977</v>
      </c>
      <c r="L59" s="1">
        <f>L57+L58</f>
        <v>0</v>
      </c>
      <c r="M59" s="1">
        <f>L59</f>
        <v>0</v>
      </c>
    </row>
    <row r="60" spans="1:13" x14ac:dyDescent="0.25">
      <c r="A60" s="1" t="s">
        <v>904</v>
      </c>
      <c r="B60" s="1"/>
      <c r="C60" s="1"/>
      <c r="D60" s="1"/>
      <c r="E60" s="1"/>
      <c r="F60" s="1"/>
      <c r="G60" s="487"/>
      <c r="H60" s="1" t="s">
        <v>905</v>
      </c>
      <c r="I60" s="1"/>
      <c r="J60" s="1"/>
      <c r="K60" s="1"/>
      <c r="L60" s="1"/>
      <c r="M60" s="1"/>
    </row>
    <row r="61" spans="1:13" x14ac:dyDescent="0.25">
      <c r="A61" s="23" t="s">
        <v>952</v>
      </c>
      <c r="B61" s="1" t="s">
        <v>907</v>
      </c>
      <c r="C61" s="1"/>
      <c r="D61" s="684">
        <v>5125000</v>
      </c>
      <c r="E61" s="1" t="s">
        <v>908</v>
      </c>
      <c r="F61" s="1"/>
      <c r="G61" s="487"/>
      <c r="H61" s="1" t="s">
        <v>952</v>
      </c>
      <c r="I61" s="1" t="s">
        <v>907</v>
      </c>
      <c r="J61" s="1"/>
      <c r="K61" s="684">
        <v>10000000</v>
      </c>
      <c r="L61" s="1" t="s">
        <v>908</v>
      </c>
      <c r="M61" s="1"/>
    </row>
    <row r="62" spans="1:13" x14ac:dyDescent="0.25">
      <c r="A62" s="1" t="s">
        <v>953</v>
      </c>
      <c r="B62" s="1" t="s">
        <v>855</v>
      </c>
      <c r="C62" s="1" t="s">
        <v>856</v>
      </c>
      <c r="D62" s="1" t="s">
        <v>857</v>
      </c>
      <c r="E62" s="1" t="s">
        <v>858</v>
      </c>
      <c r="F62" s="1"/>
      <c r="G62" s="487"/>
      <c r="H62" s="1" t="s">
        <v>953</v>
      </c>
      <c r="I62" s="1" t="s">
        <v>855</v>
      </c>
      <c r="J62" s="1" t="s">
        <v>856</v>
      </c>
      <c r="K62" s="1" t="s">
        <v>857</v>
      </c>
      <c r="L62" s="1" t="s">
        <v>858</v>
      </c>
      <c r="M62" s="1"/>
    </row>
    <row r="63" spans="1:13" x14ac:dyDescent="0.25">
      <c r="A63" s="1" t="s">
        <v>910</v>
      </c>
      <c r="B63" s="1" t="s">
        <v>862</v>
      </c>
      <c r="C63" s="1" t="s">
        <v>863</v>
      </c>
      <c r="D63" s="1">
        <v>300000</v>
      </c>
      <c r="E63" s="1">
        <v>500000</v>
      </c>
      <c r="F63" s="1"/>
      <c r="G63" s="487"/>
      <c r="H63" s="1" t="s">
        <v>910</v>
      </c>
      <c r="I63" s="1" t="s">
        <v>862</v>
      </c>
      <c r="J63" s="1" t="s">
        <v>863</v>
      </c>
      <c r="K63" s="1">
        <v>300000</v>
      </c>
      <c r="L63" s="1">
        <v>500000</v>
      </c>
      <c r="M63" s="1"/>
    </row>
    <row r="64" spans="1:13" x14ac:dyDescent="0.25">
      <c r="A64" s="1" t="s">
        <v>954</v>
      </c>
      <c r="B64" s="1">
        <f>IF(AND($D$61&gt;=250000,($D$61&lt;500000)),($D$61-250000)*0.05)+IF(AND($D$61&gt;=500000,$D$61&lt;1000000),(12500+($D$61-500000)*0.2))+IF($D$61&gt;=1000000,(112500+($D$61-1000000)*0.3))</f>
        <v>1350000</v>
      </c>
      <c r="C64" s="1">
        <f>IF(AND($D$61&gt;=250000,($D$61&lt;500000)),($D$61-250000)*0.05)+IF(AND($D$61&gt;=500000,$D$61&lt;1000000),(12500+($D$61-500000)*0.2))+IF($D$61&gt;=1000000,(112500+($D$61-1000000)*0.3))</f>
        <v>1350000</v>
      </c>
      <c r="D64" s="1">
        <f>IF(AND($D$61&gt;=250000,($D$61&lt;500000)),($D$61-250000)*0.05)+IF(AND($D$61&gt;=500000,$D$61&lt;1000000),(12500+($D$61-500000)*0.2))+IF($D$61&gt;=1000000,(112500+($D$61-1000000)*0.3))</f>
        <v>1350000</v>
      </c>
      <c r="E64" s="1">
        <f>IF(AND($D$61&gt;=250000,($D$61&lt;500000)),($D$61-250000)*0.05)+IF(AND($D$61&gt;=500000,$D$61&lt;1000000),(12500+($D$61-500000)*0.2))+IF($D$61&gt;=1000000,(112500+($D$61-1000000)*0.3))</f>
        <v>1350000</v>
      </c>
      <c r="F64" s="1"/>
      <c r="G64" s="487"/>
      <c r="H64" s="1" t="s">
        <v>954</v>
      </c>
      <c r="I64" s="1">
        <f>IF(AND($K$61&gt;=250000,($K$61&lt;500000)),($K$61-250000)*0.05)+IF(AND($K$61&gt;=500000,$K$61&lt;1000000),(12500+($K$61-500000)*0.2))+IF($K$61&gt;=1000000,(112500+($K$61-1000000)*0.3))</f>
        <v>2812500</v>
      </c>
      <c r="J64" s="1">
        <f>IF(AND($K$61&gt;=250000,($K$61&lt;500000)),($K$61-250000)*0.05)+IF(AND($K$61&gt;=500000,$K$61&lt;1000000),(12500+($K$61-500000)*0.2))+IF($K$61&gt;=1000000,(112500+($K$61-1000000)*0.3))</f>
        <v>2812500</v>
      </c>
      <c r="K64" s="1">
        <f>IF(AND($K$61&gt;=250000,($K$61&lt;500000)),($K$61-250000)*0.05)+IF(AND($K$61&gt;=500000,$K$61&lt;1000000),(12500+($K$61-500000)*0.2))+IF($K$61&gt;=1000000,(112500+($K$61-1000000)*0.3))</f>
        <v>2812500</v>
      </c>
      <c r="L64" s="1">
        <f>IF(AND($K$61&gt;=250000,($K$61&lt;500000)),($K$61-250000)*0.05)+IF(AND($K$61&gt;=500000,$K$61&lt;1000000),(12500+($K$61-500000)*0.2))+IF($K$61&gt;=1000000,(112500+($K$61-1000000)*0.3))</f>
        <v>2812500</v>
      </c>
      <c r="M64" s="1"/>
    </row>
    <row r="65" spans="1:13" x14ac:dyDescent="0.25">
      <c r="A65" s="1" t="s">
        <v>955</v>
      </c>
      <c r="B65" s="1">
        <v>0</v>
      </c>
      <c r="C65" s="1">
        <v>0</v>
      </c>
      <c r="D65" s="1">
        <v>0</v>
      </c>
      <c r="E65" s="1">
        <v>0</v>
      </c>
      <c r="F65" s="1"/>
      <c r="G65" s="487"/>
      <c r="H65" s="1" t="s">
        <v>955</v>
      </c>
      <c r="I65" s="1">
        <v>0</v>
      </c>
      <c r="J65" s="1">
        <v>0</v>
      </c>
      <c r="K65" s="1">
        <v>0</v>
      </c>
      <c r="L65" s="1">
        <v>0</v>
      </c>
      <c r="M65" s="1"/>
    </row>
    <row r="66" spans="1:13" x14ac:dyDescent="0.25">
      <c r="A66" s="1" t="s">
        <v>860</v>
      </c>
      <c r="B66" s="1">
        <f>IF($D$61&lt;500001,MIN(B64,12500),0)</f>
        <v>0</v>
      </c>
      <c r="C66" s="1">
        <f>IF($D$61&lt;500001,MIN(C64,12500),0)</f>
        <v>0</v>
      </c>
      <c r="D66" s="1">
        <f>IF($D$61&lt;500001,MIN(D64,12500),0)</f>
        <v>0</v>
      </c>
      <c r="E66" s="1">
        <f>IF($D$61&lt;500001,MIN(E64,12500),0)</f>
        <v>0</v>
      </c>
      <c r="F66" s="1">
        <f>IF(F69=2,F67,IF(F69=1,F68,0))</f>
        <v>0</v>
      </c>
      <c r="G66" s="487"/>
      <c r="H66" s="1" t="s">
        <v>860</v>
      </c>
      <c r="I66" s="1">
        <f>IF($K$61&lt;500001,MIN(I64,12500),0)</f>
        <v>0</v>
      </c>
      <c r="J66" s="1">
        <f>IF($K$61&lt;500001,MIN(J64,12500),0)</f>
        <v>0</v>
      </c>
      <c r="K66" s="1">
        <f>IF($K$61&lt;500001,MIN(K64,12500),0)</f>
        <v>0</v>
      </c>
      <c r="L66" s="1"/>
      <c r="M66" s="1">
        <f>IF(M69=2,M67,IF(M69=1,M68,0))</f>
        <v>0</v>
      </c>
    </row>
    <row r="67" spans="1:13" x14ac:dyDescent="0.25">
      <c r="A67" s="1" t="s">
        <v>956</v>
      </c>
      <c r="B67" s="1">
        <f>ROUND((IF($D$61&lt;5000001,0,(IF($D$61&lt;10000001,(MIN((B64*0.1),(($D$61-5000000)*0.7))),((IF($D$61&gt;10000001,(MIN((($D$61-10000000)*0.7+281250),(B64*0.15)))))))))),0)</f>
        <v>87500</v>
      </c>
      <c r="C67" s="1">
        <f>ROUND((IF($D$61&lt;5000001,0,(IF($D$61&lt;10000001,(MIN((C64*0.1),(($D$61-5000000)*0.7))),((IF($D$61&gt;10000001,(MIN((($D$61-10000000)*0.7+281250),(C64*0.15)))))))))),0)</f>
        <v>87500</v>
      </c>
      <c r="D67" s="1">
        <f>ROUND((IF($D$61&lt;5000001,0,(IF($D$61&lt;10000001,(MIN((D64*0.1),(($D$61-5000000)*0.7))),((IF($D$61&gt;10000001,(MIN((($D$61-10000000)*0.7+281250),(D64*0.15)))))))))),0)</f>
        <v>87500</v>
      </c>
      <c r="E67" s="1">
        <f>ROUND((IF($D$61&lt;5000001,0,(IF($D$61&lt;10000001,(MIN((E64*0.1),(($D$61-5000000)*0.7))),((IF($D$61&gt;10000001,(MIN((($D$61-10000000)*0.7+281250),(E64*0.15)))))))))),0)</f>
        <v>87500</v>
      </c>
      <c r="F67" s="1" t="s">
        <v>903</v>
      </c>
      <c r="G67" s="487"/>
      <c r="H67" s="1" t="s">
        <v>956</v>
      </c>
      <c r="I67" s="1">
        <f>ROUND((IF($K$61&lt;5000001,0,(IF($K$61&lt;10000001,(MIN((I64*0.1),(($K$61-5000000)*0.7))),((IF($K$61&gt;10000001,(MIN((($K$61-10000000)*0.7+281250),(I64*0.15)))))))))),0)</f>
        <v>281250</v>
      </c>
      <c r="J67" s="1">
        <f>ROUND((IF($K$61&lt;5000001,0,(IF($K$61&lt;10000001,(MIN((J64*0.1),(($K$61-5000000)*0.7))),((IF($K$61&gt;10000001,(MIN((($K$61-10000000)*0.7+281250),(J64*0.15)))))))))),0)</f>
        <v>281250</v>
      </c>
      <c r="K67" s="1">
        <f>ROUND((IF($K$61&lt;5000001,0,(IF($K$61&lt;10000001,(MIN((K64*0.1),(($K$61-5000000)*0.7))),((IF($K$61&gt;10000001,(MIN((($K$61-10000000)*0.7+281250),(K64*0.15)))))))))),0)</f>
        <v>281250</v>
      </c>
      <c r="L67" s="1">
        <f>ROUND((IF($K$61&lt;5000001,0,(IF($K$61&lt;10000001,(MIN((L64*0.1),(($K$61-5000000)*0.7))),((IF($K$61&gt;10000001,(MIN((($K$61-10000000)*0.7+281250),(L64*0.15)))))))))),0)</f>
        <v>281250</v>
      </c>
      <c r="M67" s="1" t="s">
        <v>903</v>
      </c>
    </row>
    <row r="68" spans="1:13" x14ac:dyDescent="0.25">
      <c r="A68" s="1" t="s">
        <v>957</v>
      </c>
      <c r="B68" s="1">
        <v>0</v>
      </c>
      <c r="C68" s="1">
        <v>0</v>
      </c>
      <c r="D68" s="1">
        <v>0</v>
      </c>
      <c r="E68" s="1">
        <v>0</v>
      </c>
      <c r="F68" s="1" t="s">
        <v>958</v>
      </c>
      <c r="G68" s="487"/>
      <c r="H68" s="1" t="s">
        <v>957</v>
      </c>
      <c r="I68" s="1">
        <v>0</v>
      </c>
      <c r="J68" s="1">
        <v>0</v>
      </c>
      <c r="K68" s="1">
        <v>0</v>
      </c>
      <c r="L68" s="1">
        <v>0</v>
      </c>
      <c r="M68" s="1" t="s">
        <v>958</v>
      </c>
    </row>
    <row r="69" spans="1:13" x14ac:dyDescent="0.25">
      <c r="A69" s="1" t="s">
        <v>959</v>
      </c>
      <c r="B69" s="1">
        <f t="shared" ref="B69:E69" si="42">ROUND((B64+B67-B66)*4%,0)</f>
        <v>57500</v>
      </c>
      <c r="C69" s="1">
        <f t="shared" si="42"/>
        <v>57500</v>
      </c>
      <c r="D69" s="1">
        <f t="shared" si="42"/>
        <v>57500</v>
      </c>
      <c r="E69" s="1">
        <f t="shared" si="42"/>
        <v>57500</v>
      </c>
      <c r="F69" s="1" t="str">
        <f>DATA!G71</f>
        <v>New Tax Regime</v>
      </c>
      <c r="G69" s="487"/>
      <c r="H69" s="1" t="s">
        <v>960</v>
      </c>
      <c r="I69" s="1">
        <f t="shared" ref="I69:L69" si="43">ROUND((I64+I67-I66)*4%,0)</f>
        <v>123750</v>
      </c>
      <c r="J69" s="1">
        <f t="shared" si="43"/>
        <v>123750</v>
      </c>
      <c r="K69" s="1">
        <f t="shared" si="43"/>
        <v>123750</v>
      </c>
      <c r="L69" s="1">
        <f t="shared" si="43"/>
        <v>123750</v>
      </c>
      <c r="M69" s="1" t="str">
        <f>F69</f>
        <v>New Tax Regime</v>
      </c>
    </row>
    <row r="70" spans="1:13" x14ac:dyDescent="0.25">
      <c r="A70" s="1" t="s">
        <v>961</v>
      </c>
      <c r="B70" s="1">
        <v>0</v>
      </c>
      <c r="C70" s="1">
        <v>0</v>
      </c>
      <c r="D70" s="1">
        <v>0</v>
      </c>
      <c r="E70" s="1">
        <v>0</v>
      </c>
      <c r="F70" s="1">
        <f>IF(F69="New Tax Regime",F71,IF(F69="Old Tax Regime",F71))</f>
        <v>0</v>
      </c>
      <c r="G70" s="487"/>
      <c r="H70" s="1" t="s">
        <v>961</v>
      </c>
      <c r="I70" s="1">
        <v>0</v>
      </c>
      <c r="J70" s="1">
        <v>0</v>
      </c>
      <c r="K70" s="1"/>
      <c r="L70" s="1"/>
      <c r="M70" s="1" t="b">
        <f>IF(M69=2,M72,IF(M69=1,M71))</f>
        <v>0</v>
      </c>
    </row>
    <row r="71" spans="1:13" x14ac:dyDescent="0.25">
      <c r="A71" s="1" t="s">
        <v>962</v>
      </c>
      <c r="B71" s="1">
        <f t="shared" ref="B71:C71" si="44">ROUND((B64-B66+B67+B69),0)</f>
        <v>1495000</v>
      </c>
      <c r="C71" s="1">
        <f t="shared" si="44"/>
        <v>1495000</v>
      </c>
      <c r="D71" s="1">
        <f t="shared" ref="D71:E71" si="45">ROUND((D64-D66+D69),0)</f>
        <v>1407500</v>
      </c>
      <c r="E71" s="1">
        <f t="shared" si="45"/>
        <v>1407500</v>
      </c>
      <c r="F71" s="1">
        <f>IF($F$226="Male",B71,IF($F$226="female",C71,IF($F$226="Sr.citizen",D71,IF($F$226="above 80 years",E71,0))))</f>
        <v>0</v>
      </c>
      <c r="G71" s="487"/>
      <c r="H71" s="1" t="s">
        <v>962</v>
      </c>
      <c r="I71" s="1">
        <f t="shared" ref="I71:L71" si="46">ROUND((I64-I66+I67+I69),0)</f>
        <v>3217500</v>
      </c>
      <c r="J71" s="1">
        <f t="shared" si="46"/>
        <v>3217500</v>
      </c>
      <c r="K71" s="1">
        <f t="shared" si="46"/>
        <v>3217500</v>
      </c>
      <c r="L71" s="1">
        <f t="shared" si="46"/>
        <v>3217500</v>
      </c>
      <c r="M71" s="1">
        <f>IF($F$226="Male",I71,IF($F$226="female",J71,IF($F$226="Sr.citizen",K71,IF($F$226="above 80 years",L71,0))))</f>
        <v>0</v>
      </c>
    </row>
    <row r="72" spans="1:13" x14ac:dyDescent="0.25">
      <c r="A72" s="1" t="s">
        <v>963</v>
      </c>
      <c r="B72" s="1">
        <v>0</v>
      </c>
      <c r="C72" s="1">
        <v>0</v>
      </c>
      <c r="D72" s="1">
        <v>0</v>
      </c>
      <c r="E72" s="1">
        <v>0</v>
      </c>
      <c r="F72" s="1">
        <f>F59</f>
        <v>0</v>
      </c>
      <c r="G72" s="487"/>
      <c r="H72" s="1" t="s">
        <v>963</v>
      </c>
      <c r="I72" s="1">
        <v>0</v>
      </c>
      <c r="J72" s="1">
        <v>0</v>
      </c>
      <c r="K72" s="1">
        <v>0</v>
      </c>
      <c r="L72" s="1">
        <v>0</v>
      </c>
      <c r="M72" s="1">
        <f>IF($F$225="Male",I72,IF($F$225="female",J72,IF($F$225="Sr.citizen",K72,IF($F$225="above 80 years",L72,0))))</f>
        <v>0</v>
      </c>
    </row>
    <row r="73" spans="1:13" x14ac:dyDescent="0.25">
      <c r="A73" s="1"/>
      <c r="B73" s="1"/>
      <c r="C73" s="1"/>
      <c r="D73" s="1"/>
      <c r="E73" s="1"/>
      <c r="F73" s="1"/>
      <c r="G73" s="487"/>
      <c r="H73" s="1"/>
      <c r="I73" s="1"/>
      <c r="J73" s="1"/>
      <c r="K73" s="1"/>
      <c r="L73" s="1"/>
      <c r="M73" s="1"/>
    </row>
    <row r="74" spans="1:13" x14ac:dyDescent="0.25">
      <c r="A74" s="1"/>
      <c r="B74" s="1"/>
      <c r="C74" s="1"/>
      <c r="D74" s="1"/>
      <c r="E74" s="1"/>
      <c r="F74" s="1"/>
      <c r="G74" s="487"/>
      <c r="H74" s="1"/>
      <c r="I74" s="1"/>
      <c r="J74" s="1"/>
      <c r="K74" s="1"/>
      <c r="L74" s="1"/>
      <c r="M74" s="1"/>
    </row>
    <row r="75" spans="1:13" x14ac:dyDescent="0.25">
      <c r="A75" s="23" t="s">
        <v>979</v>
      </c>
      <c r="B75" s="1" t="s">
        <v>907</v>
      </c>
      <c r="C75" s="1"/>
      <c r="D75" s="684">
        <f>DATA!D70</f>
        <v>0</v>
      </c>
      <c r="E75" s="1" t="s">
        <v>908</v>
      </c>
      <c r="F75" s="1"/>
      <c r="G75" s="487"/>
      <c r="H75" s="1" t="s">
        <v>979</v>
      </c>
      <c r="I75" s="1" t="s">
        <v>907</v>
      </c>
      <c r="J75" s="1"/>
      <c r="K75" s="684">
        <f>DATA!D70+DATA!E70</f>
        <v>0</v>
      </c>
      <c r="L75" s="1" t="s">
        <v>908</v>
      </c>
      <c r="M75" s="1"/>
    </row>
    <row r="76" spans="1:13" x14ac:dyDescent="0.25">
      <c r="A76" s="1" t="s">
        <v>980</v>
      </c>
      <c r="B76" s="1" t="s">
        <v>855</v>
      </c>
      <c r="C76" s="1" t="s">
        <v>856</v>
      </c>
      <c r="D76" s="1" t="s">
        <v>857</v>
      </c>
      <c r="E76" s="1" t="s">
        <v>858</v>
      </c>
      <c r="F76" s="1"/>
      <c r="G76" s="487"/>
      <c r="H76" s="1" t="s">
        <v>980</v>
      </c>
      <c r="I76" s="1" t="s">
        <v>855</v>
      </c>
      <c r="J76" s="1" t="s">
        <v>856</v>
      </c>
      <c r="K76" s="1" t="s">
        <v>857</v>
      </c>
      <c r="L76" s="1" t="s">
        <v>858</v>
      </c>
      <c r="M76" s="1"/>
    </row>
    <row r="77" spans="1:13" x14ac:dyDescent="0.25">
      <c r="A77" s="1" t="s">
        <v>910</v>
      </c>
      <c r="B77" s="1" t="s">
        <v>862</v>
      </c>
      <c r="C77" s="1" t="s">
        <v>863</v>
      </c>
      <c r="D77" s="1">
        <v>300000</v>
      </c>
      <c r="E77" s="1">
        <v>500000</v>
      </c>
      <c r="F77" s="1"/>
      <c r="G77" s="487"/>
      <c r="H77" s="1" t="s">
        <v>910</v>
      </c>
      <c r="I77" s="1" t="s">
        <v>862</v>
      </c>
      <c r="J77" s="1" t="s">
        <v>863</v>
      </c>
      <c r="K77" s="1">
        <v>300000</v>
      </c>
      <c r="L77" s="1">
        <v>500000</v>
      </c>
      <c r="M77" s="1"/>
    </row>
    <row r="78" spans="1:13" x14ac:dyDescent="0.25">
      <c r="A78" s="1" t="s">
        <v>954</v>
      </c>
      <c r="B78" s="1">
        <f t="shared" ref="B78:C78" si="47">IF(AND($D$128&gt;=250000,($D$128&lt;500000)),($D$128-250000)*0.05)+IF(AND($D$128&gt;=500000,$D$128&lt;1000000),(12500+($D$128-500000)*0.2))+IF($D$128&gt;=1000000,(112500+($D$128-1000000)*0.3))</f>
        <v>0</v>
      </c>
      <c r="C78" s="1">
        <f t="shared" si="47"/>
        <v>0</v>
      </c>
      <c r="D78" s="1">
        <f>IF(AND($D$128&gt;=300000,($D$128&lt;500000)),($D$128-300000)*0.05)+IF(AND($D$128&gt;=500000,$D$128&lt;1000000),(10000+($D$128-500000)*0.2))+IF($D$128&gt;=1000000,(110000+($D$128-1000000)*0.3))</f>
        <v>0</v>
      </c>
      <c r="E78" s="1">
        <f>IF(AND($D$128&gt;=500000,($D$128&lt;500000)),($D$128-500000)*0)+IF(AND($D$128&gt;=500000,$D$128&lt;1000000),(0+($D$128-500000)*0.2))+IF($D$128&gt;=1000000,(100000+($D$128-1000000)*0.3))</f>
        <v>0</v>
      </c>
      <c r="F78" s="1" t="str">
        <f>IF(F81=2,F79,IF(F81=1,F80,0))</f>
        <v>Old</v>
      </c>
      <c r="G78" s="487"/>
      <c r="H78" s="1" t="s">
        <v>954</v>
      </c>
      <c r="I78" s="1">
        <f t="shared" ref="I78:L78" si="48">IF(AND($K$128&gt;=250000,($K$128&lt;500000)),($K$128-250000)*0.05)+IF(AND($K$128&gt;=500000,$K$128&lt;1000000),(12500+($K$128-500000)*0.2))+IF($K$128&gt;=1000000,(112500+($K$128-1000000)*0.3))</f>
        <v>0</v>
      </c>
      <c r="J78" s="1">
        <f t="shared" si="48"/>
        <v>0</v>
      </c>
      <c r="K78" s="1">
        <f t="shared" si="48"/>
        <v>0</v>
      </c>
      <c r="L78" s="1">
        <f t="shared" si="48"/>
        <v>0</v>
      </c>
      <c r="M78" s="1"/>
    </row>
    <row r="79" spans="1:13" x14ac:dyDescent="0.25">
      <c r="A79" s="1" t="s">
        <v>981</v>
      </c>
      <c r="B79" s="1">
        <f t="shared" ref="B79:E79" si="49">IF($D$128&gt;1500000,187500+(($D$128-1500000)*0.3),IF($D$128&gt;1250000,125000+(($D$128-1250000)*0.25),IF($D$128&gt;1000000,75000+(($D$128-1000000)*0.2),IF($D$128&gt;750000,37500+(($D$128-750000)*0.15),IF($D$128&gt;500000,12500+(($D$128-500000)*0.1),IF($D$128&gt;250000,($D$128-250000)*0.05,0))))))</f>
        <v>0</v>
      </c>
      <c r="C79" s="1">
        <f t="shared" si="49"/>
        <v>0</v>
      </c>
      <c r="D79" s="1">
        <f t="shared" si="49"/>
        <v>0</v>
      </c>
      <c r="E79" s="1">
        <f t="shared" si="49"/>
        <v>0</v>
      </c>
      <c r="F79" s="1" t="s">
        <v>903</v>
      </c>
      <c r="G79" s="487"/>
      <c r="H79" s="1" t="s">
        <v>981</v>
      </c>
      <c r="I79" s="1">
        <f t="shared" ref="I79:L79" si="50">IF($K$128&gt;1500000,187500+(($K$128-1500000)*0.3),IF($K$128&gt;1250000,125000+(($K$128-1250000)*0.25),IF($K$128&gt;1000000,75000+(($K$128-1000000)*0.2),IF($K$128&gt;750000,37500+(($K$128-750000)*0.15),IF($K$128&gt;500000,12500+(($K$128-500000)*0.1),IF($K$128&gt;250000,($K$128-250000)*0.05,0))))))</f>
        <v>0</v>
      </c>
      <c r="J79" s="1">
        <f t="shared" si="50"/>
        <v>0</v>
      </c>
      <c r="K79" s="1">
        <f t="shared" si="50"/>
        <v>0</v>
      </c>
      <c r="L79" s="1">
        <f t="shared" si="50"/>
        <v>0</v>
      </c>
      <c r="M79" s="1"/>
    </row>
    <row r="80" spans="1:13" x14ac:dyDescent="0.25">
      <c r="A80" s="1" t="s">
        <v>860</v>
      </c>
      <c r="B80" s="1">
        <f t="shared" ref="B80:D80" si="51">IF($D$128&lt;500001,MIN(B78,12500),0)</f>
        <v>0</v>
      </c>
      <c r="C80" s="1">
        <f t="shared" si="51"/>
        <v>0</v>
      </c>
      <c r="D80" s="1">
        <f t="shared" si="51"/>
        <v>0</v>
      </c>
      <c r="E80" s="1"/>
      <c r="F80" s="1" t="s">
        <v>958</v>
      </c>
      <c r="G80" s="487"/>
      <c r="H80" s="1" t="s">
        <v>860</v>
      </c>
      <c r="I80" s="1">
        <f t="shared" ref="I80:K80" si="52">IF($K$128&lt;500001,MIN(I78,12500),0)</f>
        <v>0</v>
      </c>
      <c r="J80" s="1">
        <f t="shared" si="52"/>
        <v>0</v>
      </c>
      <c r="K80" s="1">
        <f t="shared" si="52"/>
        <v>0</v>
      </c>
      <c r="L80" s="1"/>
      <c r="M80" s="1"/>
    </row>
    <row r="81" spans="1:13" x14ac:dyDescent="0.25">
      <c r="A81" s="1" t="s">
        <v>982</v>
      </c>
      <c r="B81" s="1">
        <f t="shared" ref="B81:E81" si="53">ROUND((B78-B80)*4%,0)</f>
        <v>0</v>
      </c>
      <c r="C81" s="1">
        <f t="shared" si="53"/>
        <v>0</v>
      </c>
      <c r="D81" s="1">
        <f t="shared" si="53"/>
        <v>0</v>
      </c>
      <c r="E81" s="1">
        <f t="shared" si="53"/>
        <v>0</v>
      </c>
      <c r="F81" s="1">
        <f>IF(DATA!G70=DATA!$BF$4,1,2)</f>
        <v>2</v>
      </c>
      <c r="G81" s="487"/>
      <c r="H81" s="1" t="s">
        <v>982</v>
      </c>
      <c r="I81" s="1">
        <f t="shared" ref="I81:L81" si="54">ROUND((I78-I80)*4%,0)</f>
        <v>0</v>
      </c>
      <c r="J81" s="1">
        <f t="shared" si="54"/>
        <v>0</v>
      </c>
      <c r="K81" s="1">
        <f t="shared" si="54"/>
        <v>0</v>
      </c>
      <c r="L81" s="1">
        <f t="shared" si="54"/>
        <v>0</v>
      </c>
      <c r="M81" s="1">
        <f>F81</f>
        <v>2</v>
      </c>
    </row>
    <row r="82" spans="1:13" x14ac:dyDescent="0.25">
      <c r="A82" s="1" t="s">
        <v>861</v>
      </c>
      <c r="B82" s="1">
        <f t="shared" ref="B82:E82" si="55">ROUND(B79*4%,0)</f>
        <v>0</v>
      </c>
      <c r="C82" s="1">
        <f t="shared" si="55"/>
        <v>0</v>
      </c>
      <c r="D82" s="1">
        <f t="shared" si="55"/>
        <v>0</v>
      </c>
      <c r="E82" s="1">
        <f t="shared" si="55"/>
        <v>0</v>
      </c>
      <c r="F82" s="1">
        <f>IF(F81=2,F84,IF(F81=1,F83))</f>
        <v>0</v>
      </c>
      <c r="G82" s="487"/>
      <c r="H82" s="1" t="s">
        <v>861</v>
      </c>
      <c r="I82" s="1">
        <f t="shared" ref="I82:L82" si="56">ROUND(I79*4%,0)</f>
        <v>0</v>
      </c>
      <c r="J82" s="1">
        <f t="shared" si="56"/>
        <v>0</v>
      </c>
      <c r="K82" s="1">
        <f t="shared" si="56"/>
        <v>0</v>
      </c>
      <c r="L82" s="1">
        <f t="shared" si="56"/>
        <v>0</v>
      </c>
      <c r="M82" s="1">
        <f>IF(M81=2,M84,IF(M81=1,M83))</f>
        <v>0</v>
      </c>
    </row>
    <row r="83" spans="1:13" x14ac:dyDescent="0.25">
      <c r="A83" s="1" t="s">
        <v>983</v>
      </c>
      <c r="B83" s="1">
        <f t="shared" ref="B83:E83" si="57">+ROUND((B78-B80+B81),-1)</f>
        <v>0</v>
      </c>
      <c r="C83" s="1">
        <f t="shared" si="57"/>
        <v>0</v>
      </c>
      <c r="D83" s="1">
        <f t="shared" si="57"/>
        <v>0</v>
      </c>
      <c r="E83" s="1">
        <f t="shared" si="57"/>
        <v>0</v>
      </c>
      <c r="F83" s="1">
        <f t="shared" ref="F83:F84" si="58">IF($F$226="Male",B83,IF($F$226="female",C83,IF($F$226="Sr.citizen&gt;60&lt;80",D83,IF($F$226="above 80 years",E83,0))))</f>
        <v>0</v>
      </c>
      <c r="G83" s="487"/>
      <c r="H83" s="1" t="s">
        <v>983</v>
      </c>
      <c r="I83" s="1">
        <f t="shared" ref="I83:L83" si="59">+ROUND((I78-I80+I81),-1)</f>
        <v>0</v>
      </c>
      <c r="J83" s="1">
        <f t="shared" si="59"/>
        <v>0</v>
      </c>
      <c r="K83" s="1">
        <f t="shared" si="59"/>
        <v>0</v>
      </c>
      <c r="L83" s="1">
        <f t="shared" si="59"/>
        <v>0</v>
      </c>
      <c r="M83" s="1">
        <f t="shared" ref="M83:M84" si="60">IF($F$226="Male",I83,IF($F$226="female",J83,IF($F$226="Sr.citizen&gt;60&lt;80",K83,IF($F$226="Above 80 years",L83,0))))</f>
        <v>0</v>
      </c>
    </row>
    <row r="84" spans="1:13" x14ac:dyDescent="0.25">
      <c r="A84" s="1" t="s">
        <v>984</v>
      </c>
      <c r="B84" s="1">
        <f>ROUND(B79+B82,0)</f>
        <v>0</v>
      </c>
      <c r="C84" s="1">
        <f t="shared" ref="C84:E84" si="61">ROUND(C79+C82,0)</f>
        <v>0</v>
      </c>
      <c r="D84" s="1">
        <f t="shared" si="61"/>
        <v>0</v>
      </c>
      <c r="E84" s="1">
        <f t="shared" si="61"/>
        <v>0</v>
      </c>
      <c r="F84" s="1">
        <f t="shared" si="58"/>
        <v>0</v>
      </c>
      <c r="G84" s="487"/>
      <c r="H84" s="1" t="s">
        <v>984</v>
      </c>
      <c r="I84" s="1">
        <f t="shared" ref="I84:L84" si="62">ROUND(I79+I82,0)</f>
        <v>0</v>
      </c>
      <c r="J84" s="1">
        <f t="shared" si="62"/>
        <v>0</v>
      </c>
      <c r="K84" s="1">
        <f t="shared" si="62"/>
        <v>0</v>
      </c>
      <c r="L84" s="1">
        <f t="shared" si="62"/>
        <v>0</v>
      </c>
      <c r="M84" s="1">
        <f t="shared" si="60"/>
        <v>0</v>
      </c>
    </row>
    <row r="85" spans="1:13" x14ac:dyDescent="0.25">
      <c r="A85" s="1"/>
      <c r="B85" s="1"/>
      <c r="C85" s="1"/>
      <c r="D85" s="1"/>
      <c r="E85" s="1"/>
      <c r="F85" s="1"/>
      <c r="G85" s="487"/>
      <c r="H85" s="1"/>
      <c r="I85" s="1"/>
      <c r="J85" s="1"/>
      <c r="K85" s="1"/>
      <c r="L85" s="1"/>
      <c r="M85" s="1"/>
    </row>
    <row r="86" spans="1:13" x14ac:dyDescent="0.25">
      <c r="A86" s="23" t="s">
        <v>985</v>
      </c>
      <c r="B86" s="1" t="s">
        <v>907</v>
      </c>
      <c r="C86" s="1"/>
      <c r="D86" s="684">
        <f>DATA!D69</f>
        <v>0</v>
      </c>
      <c r="E86" s="1" t="s">
        <v>908</v>
      </c>
      <c r="F86" s="1"/>
      <c r="G86" s="487"/>
      <c r="H86" s="1" t="s">
        <v>985</v>
      </c>
      <c r="I86" s="1" t="s">
        <v>907</v>
      </c>
      <c r="J86" s="1"/>
      <c r="K86" s="684">
        <f>DATA!E69+DATA!D69</f>
        <v>0</v>
      </c>
      <c r="L86" s="1" t="s">
        <v>908</v>
      </c>
      <c r="M86" s="1"/>
    </row>
    <row r="87" spans="1:13" x14ac:dyDescent="0.25">
      <c r="A87" s="1" t="s">
        <v>986</v>
      </c>
      <c r="B87" s="1" t="s">
        <v>855</v>
      </c>
      <c r="C87" s="1" t="s">
        <v>856</v>
      </c>
      <c r="D87" s="1" t="s">
        <v>857</v>
      </c>
      <c r="E87" s="1" t="s">
        <v>858</v>
      </c>
      <c r="F87" s="1"/>
      <c r="G87" s="487"/>
      <c r="H87" s="1" t="s">
        <v>986</v>
      </c>
      <c r="I87" s="1" t="s">
        <v>855</v>
      </c>
      <c r="J87" s="1" t="s">
        <v>856</v>
      </c>
      <c r="K87" s="1" t="s">
        <v>857</v>
      </c>
      <c r="L87" s="1" t="s">
        <v>858</v>
      </c>
      <c r="M87" s="1"/>
    </row>
    <row r="88" spans="1:13" x14ac:dyDescent="0.25">
      <c r="A88" s="1" t="s">
        <v>910</v>
      </c>
      <c r="B88" s="1" t="s">
        <v>862</v>
      </c>
      <c r="C88" s="1" t="s">
        <v>863</v>
      </c>
      <c r="D88" s="1">
        <v>300000</v>
      </c>
      <c r="E88" s="1">
        <v>500000</v>
      </c>
      <c r="F88" s="1"/>
      <c r="G88" s="487"/>
      <c r="H88" s="1" t="s">
        <v>910</v>
      </c>
      <c r="I88" s="1" t="s">
        <v>862</v>
      </c>
      <c r="J88" s="1" t="s">
        <v>863</v>
      </c>
      <c r="K88" s="1">
        <v>300000</v>
      </c>
      <c r="L88" s="1">
        <v>500000</v>
      </c>
      <c r="M88" s="1"/>
    </row>
    <row r="89" spans="1:13" x14ac:dyDescent="0.25">
      <c r="A89" s="1" t="s">
        <v>954</v>
      </c>
      <c r="B89" s="1">
        <f t="shared" ref="B89" si="63">IF(AND($D$139&gt;=250000,($D$139&lt;500000)),($D$139-250000)*0.05)+IF(AND($D$139&gt;=500000,$D$139&lt;1000000),(12500+($D$139-500000)*0.2))+IF($D$139&gt;=1000000,(112500+($D$139-1000000)*0.3))</f>
        <v>0</v>
      </c>
      <c r="C89" s="1">
        <f>IF(AND($D$139&gt;=250000,($D$139&lt;500000)),($D$139-250000)*0.05)+IF(AND($D$139&gt;=500000,$D$139&lt;1000000),(12500+($D$139-500000)*0.2))+IF($D$139&gt;=1000000,(112500+($D$139-1000000)*0.3))</f>
        <v>0</v>
      </c>
      <c r="D89" s="1">
        <f>IF(AND($D$139&gt;=300000,($D$139&lt;500000)),($D$139-300000)*0.05)+IF(AND($D$139&gt;=500000,$D$139&lt;1000000),(10000+($D$139-500000)*0.2))+IF($D$139&gt;=1000000,(110000+($D$139-1000000)*0.3))</f>
        <v>0</v>
      </c>
      <c r="E89" s="1">
        <f>IF(AND($D$139&gt;=500000,($D$139&lt;500000)),($D$139-500000)*0)+IF(AND($D$139&gt;=500000,$D$139&lt;1000000),(0+($D$139-500000)*0.2))+IF($D$139&gt;=1000000,(100000+($D$139-1000000)*0.3))</f>
        <v>0</v>
      </c>
      <c r="F89" s="1"/>
      <c r="G89" s="487"/>
      <c r="H89" s="1" t="s">
        <v>954</v>
      </c>
      <c r="I89" s="1">
        <f t="shared" ref="I89:J89" si="64">IF(AND($K$139&gt;=250000,($K$139&lt;500000)),($K$139-250000)*0.05)+IF(AND($K$139&gt;=500000,$K$139&lt;1000000),(12500+($K$139-500000)*0.2))+IF($K$139&gt;=1000000,(112500+($K$139-1000000)*0.3))</f>
        <v>0</v>
      </c>
      <c r="J89" s="1">
        <f t="shared" si="64"/>
        <v>0</v>
      </c>
      <c r="K89" s="1">
        <f>IF(AND($K$139&gt;=300000,($K$139&lt;500000)),($K$139-300000)*0.05)+IF(AND($K$139&gt;=500000,$K$139&lt;1000000),(10000+($K$139-500000)*0.2))+IF($K$139&gt;=1000000,(110000+($K$139-1000000)*0.3))</f>
        <v>0</v>
      </c>
      <c r="L89" s="1">
        <f>IF(AND($K$139&gt;=500000,($K$139&lt;500000)),($K$139-500000)*0)+IF(AND($K$139&gt;=500000,$K$139&lt;1000000),(0+($K$139-500000)*0.2))+IF($K$139&gt;=1000000,(100000+($K$139-1000000)*0.3))</f>
        <v>0</v>
      </c>
      <c r="M89" s="1"/>
    </row>
    <row r="90" spans="1:13" x14ac:dyDescent="0.25">
      <c r="A90" s="1" t="s">
        <v>981</v>
      </c>
      <c r="B90" s="1">
        <f>IF($D$139&gt;1500000,187500+(($D$139-1500000)*0.3),IF($D$139&gt;1250000,125000+(($D$139-1250000)*0.25),IF($D$139&gt;1000000,75000+(($D$139-1000000)*0.2),IF($D$139&gt;750000,37500+(($D$139-750000)*0.15),IF($D$139&gt;500000,12500+(($D$139-500000)*0.1),IF($D$139&gt;250000,($D$139-250000)*0.05,0))))))</f>
        <v>0</v>
      </c>
      <c r="C90" s="1">
        <f t="shared" ref="C90:E90" si="65">IF($D$139&gt;1500000,187500+(($D$139-1500000)*0.3),IF($D$139&gt;1250000,125000+(($D$139-1250000)*0.25),IF($D$139&gt;1000000,75000+(($D$139-1000000)*0.2),IF($D$139&gt;750000,37500+(($D$139-750000)*0.15),IF($D$139&gt;500000,12500+(($D$139-500000)*0.1),IF($D$139&gt;250000,($D$139-250000)*0.05,0))))))</f>
        <v>0</v>
      </c>
      <c r="D90" s="1">
        <f t="shared" si="65"/>
        <v>0</v>
      </c>
      <c r="E90" s="1">
        <f t="shared" si="65"/>
        <v>0</v>
      </c>
      <c r="F90" s="1"/>
      <c r="G90" s="487"/>
      <c r="H90" s="1" t="s">
        <v>981</v>
      </c>
      <c r="I90" s="1">
        <f>IF($K$139&gt;1500000,187500+(($K$139-1500000)*0.3),IF($K$139&gt;1250000,125000+(($K$139-1250000)*0.25),IF($K$139&gt;1000000,75000+(($K$139-1000000)*0.2),IF($K$139&gt;750000,37500+(($K$139-750000)*0.15),IF($K$139&gt;500000,12500+(($K$139-500000)*0.1),IF($K$139&gt;250000,($K$139-250000)*0.05,0))))))</f>
        <v>0</v>
      </c>
      <c r="J90" s="1">
        <f t="shared" ref="J90:L90" si="66">IF($K$139&gt;1500000,187500+(($K$139-1500000)*0.3),IF($K$139&gt;1250000,125000+(($K$139-1250000)*0.25),IF($K$139&gt;1000000,75000+(($K$139-1000000)*0.2),IF($K$139&gt;750000,37500+(($K$139-750000)*0.15),IF($K$139&gt;500000,12500+(($K$139-500000)*0.1),IF($K$139&gt;250000,($K$139-250000)*0.05,0))))))</f>
        <v>0</v>
      </c>
      <c r="K90" s="1">
        <f t="shared" si="66"/>
        <v>0</v>
      </c>
      <c r="L90" s="1">
        <f t="shared" si="66"/>
        <v>0</v>
      </c>
      <c r="M90" s="1"/>
    </row>
    <row r="91" spans="1:13" x14ac:dyDescent="0.25">
      <c r="A91" s="1" t="s">
        <v>860</v>
      </c>
      <c r="B91" s="1">
        <f t="shared" ref="B91:D91" si="67">IF($D$139&lt;500001,MIN(B89,12500),0)</f>
        <v>0</v>
      </c>
      <c r="C91" s="1">
        <f t="shared" si="67"/>
        <v>0</v>
      </c>
      <c r="D91" s="1">
        <f t="shared" si="67"/>
        <v>0</v>
      </c>
      <c r="E91" s="1"/>
      <c r="F91" s="1"/>
      <c r="G91" s="487"/>
      <c r="H91" s="1" t="s">
        <v>860</v>
      </c>
      <c r="I91" s="1">
        <f t="shared" ref="I91:K91" si="68">IF($K$139&lt;500001,MIN(I89,12500),0)</f>
        <v>0</v>
      </c>
      <c r="J91" s="1">
        <f t="shared" si="68"/>
        <v>0</v>
      </c>
      <c r="K91" s="1">
        <f t="shared" si="68"/>
        <v>0</v>
      </c>
      <c r="L91" s="1"/>
      <c r="M91" s="1"/>
    </row>
    <row r="92" spans="1:13" x14ac:dyDescent="0.25">
      <c r="A92" s="1" t="s">
        <v>982</v>
      </c>
      <c r="B92" s="1">
        <f t="shared" ref="B92:E92" si="69">ROUND((B89-B91)*4%,0)</f>
        <v>0</v>
      </c>
      <c r="C92" s="1">
        <f t="shared" si="69"/>
        <v>0</v>
      </c>
      <c r="D92" s="1">
        <f t="shared" si="69"/>
        <v>0</v>
      </c>
      <c r="E92" s="1">
        <f t="shared" si="69"/>
        <v>0</v>
      </c>
      <c r="F92" s="1">
        <f>IF(DATA!G69=DATA!$BF$4,1,2)</f>
        <v>2</v>
      </c>
      <c r="G92" s="487"/>
      <c r="H92" s="1" t="s">
        <v>982</v>
      </c>
      <c r="I92" s="1">
        <f t="shared" ref="I92:L92" si="70">ROUND((I89-I91)*4%,0)</f>
        <v>0</v>
      </c>
      <c r="J92" s="1">
        <f t="shared" si="70"/>
        <v>0</v>
      </c>
      <c r="K92" s="1">
        <f t="shared" si="70"/>
        <v>0</v>
      </c>
      <c r="L92" s="1">
        <f t="shared" si="70"/>
        <v>0</v>
      </c>
      <c r="M92" s="1">
        <f>F92</f>
        <v>2</v>
      </c>
    </row>
    <row r="93" spans="1:13" x14ac:dyDescent="0.25">
      <c r="A93" s="1" t="s">
        <v>861</v>
      </c>
      <c r="B93" s="1">
        <f>ROUND(B90*4%,0)</f>
        <v>0</v>
      </c>
      <c r="C93" s="1">
        <f t="shared" ref="C93:E93" si="71">ROUND(C90*4%,0)</f>
        <v>0</v>
      </c>
      <c r="D93" s="1">
        <f t="shared" si="71"/>
        <v>0</v>
      </c>
      <c r="E93" s="1">
        <f t="shared" si="71"/>
        <v>0</v>
      </c>
      <c r="F93" s="1">
        <f>IF(F92=2,F95,IF(F92=1,F94))</f>
        <v>0</v>
      </c>
      <c r="G93" s="487"/>
      <c r="H93" s="1" t="s">
        <v>861</v>
      </c>
      <c r="I93" s="1">
        <f t="shared" ref="I93:L93" si="72">ROUND(I90*4%,0)</f>
        <v>0</v>
      </c>
      <c r="J93" s="1">
        <f t="shared" si="72"/>
        <v>0</v>
      </c>
      <c r="K93" s="1">
        <f t="shared" si="72"/>
        <v>0</v>
      </c>
      <c r="L93" s="1">
        <f t="shared" si="72"/>
        <v>0</v>
      </c>
      <c r="M93" s="1">
        <f>IF(M92=2,M95,IF(M92=1,M94))</f>
        <v>0</v>
      </c>
    </row>
    <row r="94" spans="1:13" x14ac:dyDescent="0.25">
      <c r="A94" s="1" t="s">
        <v>983</v>
      </c>
      <c r="B94" s="1">
        <f t="shared" ref="B94:E94" si="73">+ROUND((B89-B91+B92),-1)</f>
        <v>0</v>
      </c>
      <c r="C94" s="1">
        <f t="shared" si="73"/>
        <v>0</v>
      </c>
      <c r="D94" s="1">
        <f t="shared" si="73"/>
        <v>0</v>
      </c>
      <c r="E94" s="1">
        <f t="shared" si="73"/>
        <v>0</v>
      </c>
      <c r="F94" s="1">
        <f t="shared" ref="F94:F95" si="74">IF($F$226="Male",B94,IF($F$226="female",C94,IF($F$226="Sr.citizen&gt;60&lt;80",D94,IF($F$226="above 80 years",E94,0))))</f>
        <v>0</v>
      </c>
      <c r="G94" s="487"/>
      <c r="H94" s="1" t="s">
        <v>983</v>
      </c>
      <c r="I94" s="1">
        <f t="shared" ref="I94:L94" si="75">+ROUND((I89-I91+I92),-1)</f>
        <v>0</v>
      </c>
      <c r="J94" s="1">
        <f t="shared" si="75"/>
        <v>0</v>
      </c>
      <c r="K94" s="1">
        <f t="shared" si="75"/>
        <v>0</v>
      </c>
      <c r="L94" s="1">
        <f t="shared" si="75"/>
        <v>0</v>
      </c>
      <c r="M94" s="1">
        <f t="shared" ref="M94:M95" si="76">IF($F$226="Male",I94,IF($F$226="female",J94,IF($F$226="Sr.citizen&gt;60&lt;80",K94,IF($F$226="Above 80 years",L94,0))))</f>
        <v>0</v>
      </c>
    </row>
    <row r="95" spans="1:13" x14ac:dyDescent="0.25">
      <c r="A95" s="1" t="s">
        <v>984</v>
      </c>
      <c r="B95" s="1">
        <f>ROUND(B90+B93,0)</f>
        <v>0</v>
      </c>
      <c r="C95" s="1">
        <f t="shared" ref="C95:E95" si="77">ROUND(C90+C93,0)</f>
        <v>0</v>
      </c>
      <c r="D95" s="1">
        <f t="shared" si="77"/>
        <v>0</v>
      </c>
      <c r="E95" s="1">
        <f t="shared" si="77"/>
        <v>0</v>
      </c>
      <c r="F95" s="1">
        <f t="shared" si="74"/>
        <v>0</v>
      </c>
      <c r="G95" s="487"/>
      <c r="H95" s="1" t="s">
        <v>984</v>
      </c>
      <c r="I95" s="1">
        <f t="shared" ref="I95:L95" si="78">ROUND(I90+I93,0)</f>
        <v>0</v>
      </c>
      <c r="J95" s="1">
        <f t="shared" si="78"/>
        <v>0</v>
      </c>
      <c r="K95" s="1">
        <f t="shared" si="78"/>
        <v>0</v>
      </c>
      <c r="L95" s="1">
        <f t="shared" si="78"/>
        <v>0</v>
      </c>
      <c r="M95" s="1">
        <f t="shared" si="76"/>
        <v>0</v>
      </c>
    </row>
    <row r="96" spans="1:13" x14ac:dyDescent="0.25">
      <c r="A96" s="1"/>
      <c r="B96" s="1"/>
      <c r="C96" s="1"/>
      <c r="D96" s="1"/>
      <c r="E96" s="1"/>
      <c r="F96" s="1"/>
      <c r="G96" s="487"/>
      <c r="H96" s="1"/>
      <c r="I96" s="1"/>
      <c r="J96" s="1"/>
      <c r="K96" s="1"/>
      <c r="L96" s="1"/>
      <c r="M96" s="1"/>
    </row>
    <row r="97" spans="1:13" x14ac:dyDescent="0.25">
      <c r="A97" s="1" t="s">
        <v>904</v>
      </c>
      <c r="B97" s="1"/>
      <c r="C97" s="1"/>
      <c r="D97" s="1"/>
      <c r="E97" s="1"/>
      <c r="F97" s="1"/>
      <c r="G97" s="487"/>
      <c r="H97" s="1" t="s">
        <v>905</v>
      </c>
      <c r="I97" s="1"/>
      <c r="J97" s="1"/>
      <c r="K97" s="1"/>
      <c r="L97" s="1"/>
      <c r="M97" s="1"/>
    </row>
    <row r="98" spans="1:13" x14ac:dyDescent="0.25">
      <c r="A98" s="23" t="s">
        <v>987</v>
      </c>
      <c r="B98" s="1" t="s">
        <v>907</v>
      </c>
      <c r="C98" s="1"/>
      <c r="D98" s="684">
        <f>DATA!D68</f>
        <v>0</v>
      </c>
      <c r="E98" s="1" t="s">
        <v>908</v>
      </c>
      <c r="F98" s="1"/>
      <c r="G98" s="487"/>
      <c r="H98" s="1" t="s">
        <v>987</v>
      </c>
      <c r="I98" s="1" t="s">
        <v>907</v>
      </c>
      <c r="J98" s="1"/>
      <c r="K98" s="684">
        <f>DATA!D68+DATA!E68</f>
        <v>0</v>
      </c>
      <c r="L98" s="1" t="s">
        <v>908</v>
      </c>
      <c r="M98" s="1"/>
    </row>
    <row r="99" spans="1:13" x14ac:dyDescent="0.25">
      <c r="A99" s="1" t="s">
        <v>988</v>
      </c>
      <c r="B99" s="1" t="s">
        <v>855</v>
      </c>
      <c r="C99" s="1" t="s">
        <v>856</v>
      </c>
      <c r="D99" s="1" t="s">
        <v>857</v>
      </c>
      <c r="E99" s="1" t="s">
        <v>858</v>
      </c>
      <c r="F99" s="1"/>
      <c r="G99" s="487"/>
      <c r="H99" s="1" t="s">
        <v>988</v>
      </c>
      <c r="I99" s="1" t="s">
        <v>855</v>
      </c>
      <c r="J99" s="1" t="s">
        <v>856</v>
      </c>
      <c r="K99" s="1" t="s">
        <v>857</v>
      </c>
      <c r="L99" s="1" t="s">
        <v>858</v>
      </c>
      <c r="M99" s="1"/>
    </row>
    <row r="100" spans="1:13" x14ac:dyDescent="0.25">
      <c r="A100" s="1" t="s">
        <v>910</v>
      </c>
      <c r="B100" s="1" t="s">
        <v>862</v>
      </c>
      <c r="C100" s="1" t="s">
        <v>863</v>
      </c>
      <c r="D100" s="1">
        <v>300000</v>
      </c>
      <c r="E100" s="1">
        <v>500000</v>
      </c>
      <c r="F100" s="1"/>
      <c r="G100" s="487"/>
      <c r="H100" s="1" t="s">
        <v>910</v>
      </c>
      <c r="I100" s="1" t="s">
        <v>862</v>
      </c>
      <c r="J100" s="1" t="s">
        <v>863</v>
      </c>
      <c r="K100" s="1">
        <v>300000</v>
      </c>
      <c r="L100" s="1">
        <v>500000</v>
      </c>
      <c r="M100" s="1"/>
    </row>
    <row r="101" spans="1:13" x14ac:dyDescent="0.25">
      <c r="A101" s="1" t="s">
        <v>954</v>
      </c>
      <c r="B101" s="1">
        <f>IF(AND($D$98&gt;=250000,($D$98&lt;500000)),($D$98-250000)*0.05)+IF(AND($D$98&gt;=500000,$D$98&lt;1000000),(12500+($D$98-500000)*0.2))+IF($D$98&gt;=1000000,(112500+($D$98-1000000)*0.3))</f>
        <v>0</v>
      </c>
      <c r="C101" s="1">
        <f>IF(AND($D$98&gt;=250000,($D$98&lt;500000)),($D$98-250000)*0.05)+IF(AND($D$98&gt;=500000,$D$98&lt;1000000),(12500+($D$98-500000)*0.2))+IF($D$98&gt;=1000000,(112500+($D$98-1000000)*0.3))</f>
        <v>0</v>
      </c>
      <c r="D101" s="1">
        <f>IF(AND($D$98&gt;=300000,($D$98&lt;500000)),($D$98-300000)*0.05)+IF(AND($D$98&gt;=500000,$D$98&lt;1000000),(10000+($D$98-500000)*0.2))+IF($D$98&gt;=1000000,(110000+($D$98-1000000)*0.3))</f>
        <v>0</v>
      </c>
      <c r="E101" s="1">
        <f>IF(AND($D$98&gt;=500000,($D$98&lt;500000)),($D$98-500000)*0)+IF(AND($D$98&gt;=500000,$D$98&lt;1000000),(0+($D$98-500000)*0.2))+IF($D$98&gt;=1000000,(100000+($D$98-1000000)*0.3))</f>
        <v>0</v>
      </c>
      <c r="F101" s="1"/>
      <c r="G101" s="487"/>
      <c r="H101" s="1" t="s">
        <v>954</v>
      </c>
      <c r="I101" s="1">
        <f>IF(AND($K$98&gt;=250000,($K$98&lt;500000)),($K$98-250000)*0.05)+IF(AND($K$98&gt;=500000,$K$98&lt;1000000),(12500+($K$98-500000)*0.2))+IF($K$98&gt;=1000000,(112500+($K$98-1000000)*0.3))</f>
        <v>0</v>
      </c>
      <c r="J101" s="1">
        <f>IF(AND($K$98&gt;=250000,($K$98&lt;500000)),($K$98-250000)*0.05)+IF(AND($K$98&gt;=500000,$K$98&lt;1000000),(12500+($K$98-500000)*0.2))+IF($K$98&gt;=1000000,(112500+($K$98-1000000)*0.3))</f>
        <v>0</v>
      </c>
      <c r="K101" s="1">
        <f>IF(AND($K$98&gt;=300000,($K$98&lt;500000)),($K$98-300000)*0.05)+IF(AND($K$98&gt;=500000,$K$98&lt;1000000),(10000+($K$98-500000)*0.2))+IF($K$98&gt;=1000000,(110000+($K$98-1000000)*0.3))</f>
        <v>0</v>
      </c>
      <c r="L101" s="1">
        <f>IF(AND($K$98&gt;=500000,($K$98&lt;500000)),($K$98-500000)*0)+IF(AND($K$98&gt;=500000,$K$98&lt;1000000),(0+($K$98-500000)*0.2))+IF($K$98&gt;=1000000,(100000+($K$98-1000000)*0.3))</f>
        <v>0</v>
      </c>
      <c r="M101" s="1"/>
    </row>
    <row r="102" spans="1:13" x14ac:dyDescent="0.25">
      <c r="A102" s="1" t="s">
        <v>981</v>
      </c>
      <c r="B102" s="1">
        <f>IF($D$98&gt;1500000,187500+(($D$98-1500000)*0.3),IF($D$98&gt;1250000,125000+(($D$98-1250000)*0.25),IF($D$98&gt;1000000,75000+(($D$98-1000000)*0.2),IF($D$98&gt;750000,37500+(($D$98-750000)*0.15),IF($D$98&gt;500000,12500+(($D$98-500000)*0.1),IF($D$98&gt;250000,($D$98-250000)*0.05,0))))))</f>
        <v>0</v>
      </c>
      <c r="C102" s="1">
        <f>IF($D$98&gt;1500000,187500+(($D$98-1500000)*0.3),IF($D$98&gt;1250000,125000+(($D$98-1250000)*0.25),IF($D$98&gt;1000000,75000+(($D$98-1000000)*0.2),IF($D$98&gt;750000,37500+(($D$98-750000)*0.15),IF($D$98&gt;500000,12500+(($D$98-500000)*0.1),IF($D$98&gt;250000,($D$98-250000)*0.05,0))))))</f>
        <v>0</v>
      </c>
      <c r="D102" s="1">
        <f>IF($D$98&gt;1500000,187500+(($D$98-1500000)*0.3),IF($D$98&gt;1250000,125000+(($D$98-1250000)*0.25),IF($D$98&gt;1000000,75000+(($D$98-1000000)*0.2),IF($D$98&gt;750000,37500+(($D$98-750000)*0.15),IF($D$98&gt;500000,12500+(($D$98-500000)*0.1),IF($D$98&gt;250000,($D$98-250000)*0.05,0))))))</f>
        <v>0</v>
      </c>
      <c r="E102" s="1">
        <f>IF($D$98&gt;1500000,187500+(($D$98-1500000)*0.3),IF($D$98&gt;1250000,125000+(($D$98-1250000)*0.25),IF($D$98&gt;1000000,75000+(($D$98-1000000)*0.2),IF($D$98&gt;750000,37500+(($D$98-750000)*0.15),IF($D$98&gt;500000,12500+(($D$98-500000)*0.1),IF($D$98&gt;250000,($D$98-250000)*0.05,0))))))</f>
        <v>0</v>
      </c>
      <c r="F102" s="1"/>
      <c r="G102" s="487"/>
      <c r="H102" s="1" t="s">
        <v>981</v>
      </c>
      <c r="I102" s="1">
        <f>IF($K$98&gt;1500000,187500+(($K$98-1500000)*0.3),IF($K$98&gt;1250000,125000+(($K$98-1250000)*0.25),IF($K$98&gt;1000000,75000+(($K$98-1000000)*0.2),IF($K$98&gt;750000,37500+(($D$151-750000)*0.15),IF($K$98&gt;500000,12500+(($K$98-500000)*0.1),IF($K$98&gt;250000,($K$98-250000)*0.05,0))))))</f>
        <v>0</v>
      </c>
      <c r="J102" s="1">
        <f>IF($K$98&gt;1500000,187500+(($K$98-1500000)*0.3),IF($K$98&gt;1250000,125000+(($K$98-1250000)*0.25),IF($K$98&gt;1000000,75000+(($K$98-1000000)*0.2),IF($K$98&gt;750000,37500+(($D$151-750000)*0.15),IF($K$98&gt;500000,12500+(($K$98-500000)*0.1),IF($K$98&gt;250000,($K$98-250000)*0.05,0))))))</f>
        <v>0</v>
      </c>
      <c r="K102" s="1">
        <f>IF($K$98&gt;1500000,187500+(($K$98-1500000)*0.3),IF($K$98&gt;1250000,125000+(($K$98-1250000)*0.25),IF($K$98&gt;1000000,75000+(($K$98-1000000)*0.2),IF($K$98&gt;750000,37500+(($D$151-750000)*0.15),IF($K$98&gt;500000,12500+(($K$98-500000)*0.1),IF($K$98&gt;250000,($K$98-250000)*0.05,0))))))</f>
        <v>0</v>
      </c>
      <c r="L102" s="1">
        <f>IF($K$98&gt;1500000,187500+(($K$98-1500000)*0.3),IF($K$98&gt;1250000,125000+(($K$98-1250000)*0.25),IF($K$98&gt;1000000,75000+(($K$98-1000000)*0.2),IF($K$98&gt;750000,37500+(($D$151-750000)*0.15),IF($K$98&gt;500000,12500+(($K$98-500000)*0.1),IF($K$98&gt;250000,($K$98-250000)*0.05,0))))))</f>
        <v>0</v>
      </c>
      <c r="M102" s="1"/>
    </row>
    <row r="103" spans="1:13" x14ac:dyDescent="0.25">
      <c r="A103" s="1" t="s">
        <v>860</v>
      </c>
      <c r="B103" s="1">
        <f>IF($D$98&lt;500001,MIN(B101,12500),0)</f>
        <v>0</v>
      </c>
      <c r="C103" s="1">
        <f>IF($D$98&lt;500001,MIN(C101,12500),0)</f>
        <v>0</v>
      </c>
      <c r="D103" s="1">
        <f>IF($D$98&lt;500001,MIN(D101,12500),0)</f>
        <v>0</v>
      </c>
      <c r="E103" s="1"/>
      <c r="F103" s="1"/>
      <c r="G103" s="487"/>
      <c r="H103" s="1" t="s">
        <v>860</v>
      </c>
      <c r="I103" s="1">
        <f>IF($K$98&lt;500001,MIN(I101,12500),0)</f>
        <v>0</v>
      </c>
      <c r="J103" s="1">
        <f>IF($K$98&lt;500001,MIN(J101,12500),0)</f>
        <v>0</v>
      </c>
      <c r="K103" s="1">
        <f>IF($K$98&lt;500001,MIN(K101,12500),0)</f>
        <v>0</v>
      </c>
      <c r="L103" s="1"/>
      <c r="M103" s="1"/>
    </row>
    <row r="104" spans="1:13" x14ac:dyDescent="0.25">
      <c r="A104" s="1" t="s">
        <v>982</v>
      </c>
      <c r="B104" s="1">
        <f t="shared" ref="B104:E104" si="79">ROUND((B101-B103)*4%,0)</f>
        <v>0</v>
      </c>
      <c r="C104" s="1">
        <f t="shared" si="79"/>
        <v>0</v>
      </c>
      <c r="D104" s="1">
        <f t="shared" si="79"/>
        <v>0</v>
      </c>
      <c r="E104" s="1">
        <f t="shared" si="79"/>
        <v>0</v>
      </c>
      <c r="F104" s="1">
        <f>IF(DATA!G68=DATA!$BF$4,1,2)</f>
        <v>2</v>
      </c>
      <c r="G104" s="487"/>
      <c r="H104" s="1" t="s">
        <v>982</v>
      </c>
      <c r="I104" s="1">
        <f t="shared" ref="I104:L104" si="80">ROUND((I101-I103)*4%,0)</f>
        <v>0</v>
      </c>
      <c r="J104" s="1">
        <f t="shared" si="80"/>
        <v>0</v>
      </c>
      <c r="K104" s="1">
        <f t="shared" si="80"/>
        <v>0</v>
      </c>
      <c r="L104" s="1">
        <f t="shared" si="80"/>
        <v>0</v>
      </c>
      <c r="M104" s="1">
        <f>F104</f>
        <v>2</v>
      </c>
    </row>
    <row r="105" spans="1:13" x14ac:dyDescent="0.25">
      <c r="A105" s="1" t="s">
        <v>861</v>
      </c>
      <c r="B105" s="1">
        <f t="shared" ref="B105:E105" si="81">ROUND(B102*4%,0)</f>
        <v>0</v>
      </c>
      <c r="C105" s="1">
        <f t="shared" si="81"/>
        <v>0</v>
      </c>
      <c r="D105" s="1">
        <f t="shared" si="81"/>
        <v>0</v>
      </c>
      <c r="E105" s="1">
        <f t="shared" si="81"/>
        <v>0</v>
      </c>
      <c r="F105" s="1">
        <f>IF(F104=2,F107,IF(F104=1,F106))</f>
        <v>0</v>
      </c>
      <c r="G105" s="487"/>
      <c r="H105" s="1" t="s">
        <v>861</v>
      </c>
      <c r="I105" s="1">
        <f t="shared" ref="I105:L105" si="82">ROUND(I102*4%,0)</f>
        <v>0</v>
      </c>
      <c r="J105" s="1">
        <f t="shared" si="82"/>
        <v>0</v>
      </c>
      <c r="K105" s="1">
        <f t="shared" si="82"/>
        <v>0</v>
      </c>
      <c r="L105" s="1">
        <f t="shared" si="82"/>
        <v>0</v>
      </c>
      <c r="M105" s="1">
        <f>IF(M104=2,M107,IF(M104=1,M106))</f>
        <v>0</v>
      </c>
    </row>
    <row r="106" spans="1:13" x14ac:dyDescent="0.25">
      <c r="A106" s="1" t="s">
        <v>983</v>
      </c>
      <c r="B106" s="1">
        <f t="shared" ref="B106:E106" si="83">ROUND((B101-B103+B104),0)</f>
        <v>0</v>
      </c>
      <c r="C106" s="1">
        <f t="shared" si="83"/>
        <v>0</v>
      </c>
      <c r="D106" s="1">
        <f t="shared" si="83"/>
        <v>0</v>
      </c>
      <c r="E106" s="1">
        <f t="shared" si="83"/>
        <v>0</v>
      </c>
      <c r="F106" s="1">
        <f>IF($F$226="Male",B106,IF($F$226="female",C106,IF($F$226="Sr.citizen&gt;60&lt;80",D106,IF($F$226="above 80 years",E106,0))))</f>
        <v>0</v>
      </c>
      <c r="G106" s="487"/>
      <c r="H106" s="1" t="s">
        <v>983</v>
      </c>
      <c r="I106" s="1">
        <f t="shared" ref="I106:L106" si="84">ROUND((I101-I103+I104),0)</f>
        <v>0</v>
      </c>
      <c r="J106" s="1">
        <f t="shared" si="84"/>
        <v>0</v>
      </c>
      <c r="K106" s="1">
        <f t="shared" si="84"/>
        <v>0</v>
      </c>
      <c r="L106" s="1">
        <f t="shared" si="84"/>
        <v>0</v>
      </c>
      <c r="M106" s="1">
        <f t="shared" ref="M106:M107" si="85">IF($F$226="Male",I106,IF($F$226="female",J106,IF($F$226="Sr.citizen&gt;60&lt;80",K106,IF($F$226="Above 80 years",L106,0))))</f>
        <v>0</v>
      </c>
    </row>
    <row r="107" spans="1:13" x14ac:dyDescent="0.25">
      <c r="A107" s="1" t="s">
        <v>984</v>
      </c>
      <c r="B107" s="1">
        <f t="shared" ref="B107:E107" si="86">ROUND(B102+B105,0)</f>
        <v>0</v>
      </c>
      <c r="C107" s="1">
        <f t="shared" si="86"/>
        <v>0</v>
      </c>
      <c r="D107" s="1">
        <f t="shared" si="86"/>
        <v>0</v>
      </c>
      <c r="E107" s="1">
        <f t="shared" si="86"/>
        <v>0</v>
      </c>
      <c r="F107" s="1">
        <f t="shared" ref="F107" si="87">IF($F$226="Male",B107,IF($F$226="female",C107,IF($F$226="Sr.citizen&gt;60&lt;80",D107,IF($F$226="above 80 years",E107,0))))</f>
        <v>0</v>
      </c>
      <c r="G107" s="487"/>
      <c r="H107" s="1" t="s">
        <v>984</v>
      </c>
      <c r="I107" s="1">
        <f t="shared" ref="I107:L107" si="88">ROUND(I102+I105,0)</f>
        <v>0</v>
      </c>
      <c r="J107" s="1">
        <f t="shared" si="88"/>
        <v>0</v>
      </c>
      <c r="K107" s="1">
        <f t="shared" si="88"/>
        <v>0</v>
      </c>
      <c r="L107" s="1">
        <f t="shared" si="88"/>
        <v>0</v>
      </c>
      <c r="M107" s="1">
        <f t="shared" si="85"/>
        <v>0</v>
      </c>
    </row>
    <row r="108" spans="1:13" x14ac:dyDescent="0.25">
      <c r="A108" s="1" t="s">
        <v>904</v>
      </c>
      <c r="B108" s="1"/>
      <c r="C108" s="1"/>
      <c r="D108" s="1"/>
      <c r="E108" s="1"/>
      <c r="F108" s="1"/>
      <c r="G108" s="487"/>
      <c r="H108" s="1" t="s">
        <v>905</v>
      </c>
      <c r="I108" s="1"/>
      <c r="J108" s="1"/>
      <c r="K108" s="1"/>
      <c r="L108" s="1"/>
      <c r="M108" s="1"/>
    </row>
    <row r="109" spans="1:13" x14ac:dyDescent="0.25">
      <c r="A109" s="23" t="s">
        <v>989</v>
      </c>
      <c r="B109" s="1" t="s">
        <v>907</v>
      </c>
      <c r="C109" s="1"/>
      <c r="D109" s="684">
        <f>DATA!D67</f>
        <v>0</v>
      </c>
      <c r="E109" s="1" t="s">
        <v>908</v>
      </c>
      <c r="F109" s="1"/>
      <c r="G109" s="487"/>
      <c r="H109" s="1" t="s">
        <v>989</v>
      </c>
      <c r="I109" s="1" t="s">
        <v>907</v>
      </c>
      <c r="J109" s="1"/>
      <c r="K109" s="684">
        <f>DATA!D67+DATA!E67</f>
        <v>0</v>
      </c>
      <c r="L109" s="1" t="s">
        <v>908</v>
      </c>
      <c r="M109" s="1"/>
    </row>
    <row r="110" spans="1:13" x14ac:dyDescent="0.25">
      <c r="A110" s="1" t="s">
        <v>990</v>
      </c>
      <c r="B110" s="1" t="s">
        <v>855</v>
      </c>
      <c r="C110" s="1" t="s">
        <v>856</v>
      </c>
      <c r="D110" s="1" t="s">
        <v>857</v>
      </c>
      <c r="E110" s="1" t="s">
        <v>858</v>
      </c>
      <c r="F110" s="1"/>
      <c r="G110" s="487"/>
      <c r="H110" s="1" t="s">
        <v>990</v>
      </c>
      <c r="I110" s="1" t="s">
        <v>855</v>
      </c>
      <c r="J110" s="1" t="s">
        <v>856</v>
      </c>
      <c r="K110" s="1" t="s">
        <v>857</v>
      </c>
      <c r="L110" s="1" t="s">
        <v>858</v>
      </c>
      <c r="M110" s="1"/>
    </row>
    <row r="111" spans="1:13" x14ac:dyDescent="0.25">
      <c r="A111" s="1" t="s">
        <v>910</v>
      </c>
      <c r="B111" s="1" t="s">
        <v>862</v>
      </c>
      <c r="C111" s="1" t="s">
        <v>863</v>
      </c>
      <c r="D111" s="1">
        <v>300000</v>
      </c>
      <c r="E111" s="1">
        <v>500000</v>
      </c>
      <c r="F111" s="1"/>
      <c r="G111" s="487"/>
      <c r="H111" s="1" t="s">
        <v>910</v>
      </c>
      <c r="I111" s="1" t="s">
        <v>862</v>
      </c>
      <c r="J111" s="1" t="s">
        <v>863</v>
      </c>
      <c r="K111" s="1">
        <v>300000</v>
      </c>
      <c r="L111" s="1">
        <v>500000</v>
      </c>
      <c r="M111" s="1"/>
    </row>
    <row r="112" spans="1:13" x14ac:dyDescent="0.25">
      <c r="A112" s="1" t="s">
        <v>911</v>
      </c>
      <c r="B112" s="1">
        <f t="shared" ref="B112:C112" si="89">IF(AND($D$162&gt;=250000,($D$162&lt;500000)),($D$162-250000)*0.05)+IF(AND($D$162&gt;=500000,$D$162&lt;1000000),(12500+($D$162-500000)*0.2))+IF($D$162&gt;=1000000,(112500+($D$162-1000000)*0.3))</f>
        <v>0</v>
      </c>
      <c r="C112" s="1">
        <f t="shared" si="89"/>
        <v>0</v>
      </c>
      <c r="D112" s="1">
        <f>IF(AND($D$162&gt;=300000,($D$162&lt;500000)),($D$162-300000)*0.05)+IF(AND($D$162&gt;=500000,$D$162&lt;1000000),(10000+($D$162-500000)*0.2))+IF($D$162&gt;=1000000,(110000+($D$162-1000000)*0.3))</f>
        <v>0</v>
      </c>
      <c r="E112" s="1">
        <f>IF(AND($D$162&gt;=500000,($D$162&lt;500000)),($D$162-500000)*0)+IF(AND($D$162&gt;=500000,$D$162&lt;1000000),(0+($D$162-500000)*0.2))+IF($D$162&gt;=1000000,(100000+($D$162-1000000)*0.3))</f>
        <v>0</v>
      </c>
      <c r="F112" s="1"/>
      <c r="G112" s="487"/>
      <c r="H112" s="1" t="s">
        <v>911</v>
      </c>
      <c r="I112" s="1">
        <f t="shared" ref="I112:J112" si="90">IF(AND($K$162&gt;=250000,($K$162&lt;500000)),($K$162-250000)*0.05)+IF(AND($K$162&gt;=500000,$K$162&lt;1000000),(12500+($K$162-500000)*0.2))+IF($K$162&gt;=1000000,(112500+($K$162-1000000)*0.3))</f>
        <v>0</v>
      </c>
      <c r="J112" s="1">
        <f t="shared" si="90"/>
        <v>0</v>
      </c>
      <c r="K112" s="1">
        <f>IF(AND($K$162&gt;=300000,($K$162&lt;500000)),($K$162-300000)*0.05)+IF(AND($K$162&gt;=500000,$K$162&lt;1000000),(10000+($K$162-500000)*0.2))+IF($K$162&gt;=1000000,(110000+($K$162-1000000)*0.3))</f>
        <v>0</v>
      </c>
      <c r="L112" s="1">
        <f>IF(AND($K$162&gt;=500000,($K$162&lt;500000)),($K$162-500000)*0)+IF(AND($K$162&gt;=500000,$K$162&lt;1000000),(0+($K$162-500000)*0.2))+IF($K$162&gt;=1000000,(100000+($K$162-1000000)*0.3))</f>
        <v>0</v>
      </c>
      <c r="M112" s="1"/>
    </row>
    <row r="113" spans="1:13" x14ac:dyDescent="0.25">
      <c r="A113" s="1" t="s">
        <v>860</v>
      </c>
      <c r="B113" s="1">
        <f t="shared" ref="B113:D113" si="91">IF($D$162&lt;500001,MIN(B112,12500),0)</f>
        <v>0</v>
      </c>
      <c r="C113" s="1">
        <f t="shared" si="91"/>
        <v>0</v>
      </c>
      <c r="D113" s="1">
        <f t="shared" si="91"/>
        <v>0</v>
      </c>
      <c r="E113" s="1"/>
      <c r="F113" s="1"/>
      <c r="G113" s="487"/>
      <c r="H113" s="1" t="s">
        <v>860</v>
      </c>
      <c r="I113" s="1">
        <f t="shared" ref="I113:K113" si="92">IF($K$162&lt;500001,MIN(I112,12500),0)</f>
        <v>0</v>
      </c>
      <c r="J113" s="1">
        <f t="shared" si="92"/>
        <v>0</v>
      </c>
      <c r="K113" s="1">
        <f t="shared" si="92"/>
        <v>0</v>
      </c>
      <c r="L113" s="1"/>
      <c r="M113" s="1"/>
    </row>
    <row r="114" spans="1:13" x14ac:dyDescent="0.25">
      <c r="A114" s="1" t="s">
        <v>960</v>
      </c>
      <c r="B114" s="1">
        <f t="shared" ref="B114:E114" si="93">ROUND((B112-B113)*4%,0)</f>
        <v>0</v>
      </c>
      <c r="C114" s="1">
        <f t="shared" si="93"/>
        <v>0</v>
      </c>
      <c r="D114" s="1">
        <f t="shared" si="93"/>
        <v>0</v>
      </c>
      <c r="E114" s="1">
        <f t="shared" si="93"/>
        <v>0</v>
      </c>
      <c r="F114" s="1"/>
      <c r="G114" s="487"/>
      <c r="H114" s="1" t="s">
        <v>960</v>
      </c>
      <c r="I114" s="1">
        <f t="shared" ref="I114:L114" si="94">ROUND((I112-I113)*4%,0)</f>
        <v>0</v>
      </c>
      <c r="J114" s="1">
        <f t="shared" si="94"/>
        <v>0</v>
      </c>
      <c r="K114" s="1">
        <f t="shared" si="94"/>
        <v>0</v>
      </c>
      <c r="L114" s="1">
        <f t="shared" si="94"/>
        <v>0</v>
      </c>
      <c r="M114" s="1"/>
    </row>
    <row r="115" spans="1:13" x14ac:dyDescent="0.25">
      <c r="A115" s="1" t="s">
        <v>632</v>
      </c>
      <c r="B115" s="1">
        <f t="shared" ref="B115:E115" si="95">ROUND((B112-B113+B114),0)</f>
        <v>0</v>
      </c>
      <c r="C115" s="1">
        <f t="shared" si="95"/>
        <v>0</v>
      </c>
      <c r="D115" s="1">
        <f t="shared" si="95"/>
        <v>0</v>
      </c>
      <c r="E115" s="1">
        <f t="shared" si="95"/>
        <v>0</v>
      </c>
      <c r="F115" s="1">
        <f>IF($F$226="Male",B115,IF($F$226="female",C115,IF($F$226="Sr.citizen&gt;60&lt;80",D115,IF($F$226="above 80 years",E115,0))))</f>
        <v>0</v>
      </c>
      <c r="G115" s="487"/>
      <c r="H115" s="1" t="s">
        <v>632</v>
      </c>
      <c r="I115" s="1">
        <f t="shared" ref="I115:L115" si="96">ROUND((I112-I113+I114),0)</f>
        <v>0</v>
      </c>
      <c r="J115" s="1">
        <f t="shared" si="96"/>
        <v>0</v>
      </c>
      <c r="K115" s="1">
        <f t="shared" si="96"/>
        <v>0</v>
      </c>
      <c r="L115" s="1">
        <f t="shared" si="96"/>
        <v>0</v>
      </c>
      <c r="M115" s="1">
        <f>IF($F$226="Male",I115,IF($F$226="female",J115,IF($F$226="Sr.citizen&gt;60&lt;80",K115,IF($F$226="Above 80 years",L115,0))))</f>
        <v>0</v>
      </c>
    </row>
    <row r="116" spans="1:13" x14ac:dyDescent="0.25">
      <c r="A116" s="1" t="s">
        <v>904</v>
      </c>
      <c r="B116" s="1"/>
      <c r="C116" s="1"/>
      <c r="D116" s="1"/>
      <c r="E116" s="1"/>
      <c r="F116" s="1"/>
      <c r="G116" s="487"/>
      <c r="H116" s="1" t="s">
        <v>905</v>
      </c>
      <c r="I116" s="1"/>
      <c r="J116" s="1"/>
      <c r="K116" s="1"/>
      <c r="L116" s="1"/>
      <c r="M116" s="1"/>
    </row>
    <row r="117" spans="1:13" x14ac:dyDescent="0.25">
      <c r="A117" s="23" t="s">
        <v>991</v>
      </c>
      <c r="B117" s="1" t="s">
        <v>907</v>
      </c>
      <c r="C117" s="1"/>
      <c r="D117" s="684">
        <f>DATA!D66</f>
        <v>0</v>
      </c>
      <c r="E117" s="1" t="s">
        <v>908</v>
      </c>
      <c r="F117" s="1"/>
      <c r="G117" s="487"/>
      <c r="H117" s="1" t="s">
        <v>991</v>
      </c>
      <c r="I117" s="1" t="s">
        <v>907</v>
      </c>
      <c r="J117" s="1"/>
      <c r="K117" s="684">
        <f>DATA!D66+DATA!E66</f>
        <v>0</v>
      </c>
      <c r="L117" s="1" t="s">
        <v>908</v>
      </c>
      <c r="M117" s="1"/>
    </row>
    <row r="118" spans="1:13" x14ac:dyDescent="0.25">
      <c r="A118" s="1" t="s">
        <v>992</v>
      </c>
      <c r="B118" s="1" t="s">
        <v>855</v>
      </c>
      <c r="C118" s="1" t="s">
        <v>856</v>
      </c>
      <c r="D118" s="1" t="s">
        <v>857</v>
      </c>
      <c r="E118" s="1" t="s">
        <v>858</v>
      </c>
      <c r="F118" s="1"/>
      <c r="G118" s="487"/>
      <c r="H118" s="1" t="s">
        <v>992</v>
      </c>
      <c r="I118" s="1" t="s">
        <v>855</v>
      </c>
      <c r="J118" s="1" t="s">
        <v>856</v>
      </c>
      <c r="K118" s="1" t="s">
        <v>857</v>
      </c>
      <c r="L118" s="1" t="s">
        <v>858</v>
      </c>
      <c r="M118" s="1"/>
    </row>
    <row r="119" spans="1:13" x14ac:dyDescent="0.25">
      <c r="A119" s="1" t="s">
        <v>910</v>
      </c>
      <c r="B119" s="1" t="s">
        <v>862</v>
      </c>
      <c r="C119" s="1" t="s">
        <v>863</v>
      </c>
      <c r="D119" s="1">
        <v>300000</v>
      </c>
      <c r="E119" s="1">
        <v>500000</v>
      </c>
      <c r="F119" s="1"/>
      <c r="G119" s="487"/>
      <c r="H119" s="1" t="s">
        <v>910</v>
      </c>
      <c r="I119" s="1" t="s">
        <v>862</v>
      </c>
      <c r="J119" s="1" t="s">
        <v>863</v>
      </c>
      <c r="K119" s="1">
        <v>300000</v>
      </c>
      <c r="L119" s="1">
        <v>500000</v>
      </c>
      <c r="M119" s="1"/>
    </row>
    <row r="120" spans="1:13" x14ac:dyDescent="0.25">
      <c r="A120" s="1" t="s">
        <v>911</v>
      </c>
      <c r="B120" s="1">
        <f>IF(AND($D$170&gt;=250000,($D$170&lt;500000)),($D$170-250000)*0.05)+IF(AND($D$170&gt;=500000,$D$170&lt;1000000),(12500+($D$170-500000)*0.2))+IF($D$170&gt;=1000000,(112500+($D$170-1000000)*0.3))</f>
        <v>0</v>
      </c>
      <c r="C120" s="1">
        <f t="shared" ref="C120" si="97">IF(AND($D$170&gt;=250000,($D$170&lt;500000)),($D$170-250000)*0.05)+IF(AND($D$170&gt;=500000,$D$170&lt;1000000),(12500+($D$170-500000)*0.2))+IF($D$170&gt;=1000000,(112500+($D$170-1000000)*0.3))</f>
        <v>0</v>
      </c>
      <c r="D120" s="1">
        <f>IF(AND($D$170&gt;=300000,($D$170&lt;500000)),($D$170-300000)*0.05)+IF(AND($D$170&gt;=500000,$D$170&lt;1000000),(10000+($D$170-500000)*0.2))+IF($D$170&gt;=1000000,(110000+($D$170-1000000)*0.3))</f>
        <v>0</v>
      </c>
      <c r="E120" s="1">
        <f>IF(AND($D$170&gt;=500000,($D$170&lt;500000)),($D$170-500000)*0)+IF(AND($D$170&gt;=500000,$D$170&lt;1000000),(0+($D$170-500000)*0.2))+IF($D$170&gt;=1000000,(100000+($D$170-1000000)*0.3))</f>
        <v>0</v>
      </c>
      <c r="F120" s="1"/>
      <c r="G120" s="487"/>
      <c r="H120" s="1" t="s">
        <v>911</v>
      </c>
      <c r="I120" s="1">
        <f t="shared" ref="I120:J120" si="98">IF(AND($K$170&gt;=250000,($K$170&lt;500000)),($K$170-250000)*0.05)+IF(AND($K$170&gt;=500000,$K$170&lt;1000000),(12500+($K$170-500000)*0.2))+IF($K$170&gt;=1000000,(112500+($K$170-1000000)*0.3))</f>
        <v>0</v>
      </c>
      <c r="J120" s="1">
        <f t="shared" si="98"/>
        <v>0</v>
      </c>
      <c r="K120" s="1">
        <f>IF(AND($K$170&gt;=300000,($K$170&lt;500000)),($K$170-300000)*0.05)+IF(AND($K$170&gt;=500000,$K$170&lt;1000000),(10000+($K$170-500000)*0.2))+IF($K$170&gt;=1000000,(110000+($K$170-1000000)*0.3))</f>
        <v>0</v>
      </c>
      <c r="L120" s="1">
        <f>IF(AND($K$170&gt;=500000,($K$170&lt;500000)),($K$170-500000)*0)+IF(AND($K$170&gt;=500000,$K$170&lt;1000000),(0+($K$170-500000)*0.2))+IF($K$170&gt;=1000000,(100000+($K$170-1000000)*0.3))</f>
        <v>0</v>
      </c>
      <c r="M120" s="1"/>
    </row>
    <row r="121" spans="1:13" x14ac:dyDescent="0.25">
      <c r="A121" s="1" t="s">
        <v>860</v>
      </c>
      <c r="B121" s="1">
        <f t="shared" ref="B121:D121" si="99">IF($D$170&lt;350001,MIN(B120,2500),0)</f>
        <v>0</v>
      </c>
      <c r="C121" s="1">
        <f t="shared" si="99"/>
        <v>0</v>
      </c>
      <c r="D121" s="1">
        <f t="shared" si="99"/>
        <v>0</v>
      </c>
      <c r="E121" s="1"/>
      <c r="F121" s="1"/>
      <c r="G121" s="487"/>
      <c r="H121" s="1" t="s">
        <v>860</v>
      </c>
      <c r="I121" s="1">
        <f t="shared" ref="I121:K121" si="100">IF($K$170&lt;350001,MIN(I120,2500),0)</f>
        <v>0</v>
      </c>
      <c r="J121" s="1">
        <f t="shared" si="100"/>
        <v>0</v>
      </c>
      <c r="K121" s="1">
        <f t="shared" si="100"/>
        <v>0</v>
      </c>
      <c r="L121" s="1"/>
      <c r="M121" s="1"/>
    </row>
    <row r="122" spans="1:13" x14ac:dyDescent="0.25">
      <c r="A122" s="1" t="s">
        <v>960</v>
      </c>
      <c r="B122" s="1">
        <f t="shared" ref="B122:E122" si="101">ROUND((B120-B121)*4%,0)</f>
        <v>0</v>
      </c>
      <c r="C122" s="1">
        <f t="shared" si="101"/>
        <v>0</v>
      </c>
      <c r="D122" s="1">
        <f t="shared" si="101"/>
        <v>0</v>
      </c>
      <c r="E122" s="1">
        <f t="shared" si="101"/>
        <v>0</v>
      </c>
      <c r="F122" s="1"/>
      <c r="G122" s="487"/>
      <c r="H122" s="1" t="s">
        <v>960</v>
      </c>
      <c r="I122" s="1">
        <f t="shared" ref="I122:L122" si="102">ROUND((I120-I121)*4%,0)</f>
        <v>0</v>
      </c>
      <c r="J122" s="1">
        <f t="shared" si="102"/>
        <v>0</v>
      </c>
      <c r="K122" s="1">
        <f t="shared" si="102"/>
        <v>0</v>
      </c>
      <c r="L122" s="1">
        <f t="shared" si="102"/>
        <v>0</v>
      </c>
      <c r="M122" s="1"/>
    </row>
    <row r="123" spans="1:13" x14ac:dyDescent="0.25">
      <c r="A123" s="1" t="s">
        <v>632</v>
      </c>
      <c r="B123" s="1">
        <f t="shared" ref="B123:E123" si="103">ROUND((B120-B121+B122),0)</f>
        <v>0</v>
      </c>
      <c r="C123" s="1">
        <f t="shared" si="103"/>
        <v>0</v>
      </c>
      <c r="D123" s="1">
        <f t="shared" si="103"/>
        <v>0</v>
      </c>
      <c r="E123" s="1">
        <f t="shared" si="103"/>
        <v>0</v>
      </c>
      <c r="F123" s="1">
        <f>IF($F$226="Male",B123,IF($F$226="female",C123,IF($F$226="Sr.citizen&gt;60&lt;80",D123,IF($F$226="above 80 years",E123,0))))</f>
        <v>0</v>
      </c>
      <c r="G123" s="487"/>
      <c r="H123" s="1" t="s">
        <v>632</v>
      </c>
      <c r="I123" s="1">
        <f t="shared" ref="I123:L123" si="104">ROUND((I120-I121+I122),0)</f>
        <v>0</v>
      </c>
      <c r="J123" s="1">
        <f t="shared" si="104"/>
        <v>0</v>
      </c>
      <c r="K123" s="1">
        <f t="shared" si="104"/>
        <v>0</v>
      </c>
      <c r="L123" s="1">
        <f t="shared" si="104"/>
        <v>0</v>
      </c>
      <c r="M123" s="1">
        <f>IF($F$226="Male",I123,IF($F$226="female",J123,IF($F$226="Sr.citizen&gt;60&lt;80",K123,IF($F$226="Above 80 years",L123,0))))</f>
        <v>0</v>
      </c>
    </row>
    <row r="124" spans="1:13" x14ac:dyDescent="0.25">
      <c r="A124" s="1" t="s">
        <v>904</v>
      </c>
      <c r="B124" s="1"/>
      <c r="C124" s="1"/>
      <c r="D124" s="1"/>
      <c r="E124" s="1"/>
      <c r="F124" s="1"/>
      <c r="G124" s="487"/>
      <c r="H124" s="1" t="s">
        <v>905</v>
      </c>
      <c r="I124" s="1"/>
      <c r="J124" s="1"/>
      <c r="K124" s="1"/>
      <c r="L124" s="1"/>
      <c r="M124" s="1"/>
    </row>
    <row r="125" spans="1:13" x14ac:dyDescent="0.25">
      <c r="A125" s="23" t="s">
        <v>993</v>
      </c>
      <c r="B125" s="1" t="s">
        <v>907</v>
      </c>
      <c r="C125" s="1"/>
      <c r="D125" s="684">
        <f>DATA!D65</f>
        <v>0</v>
      </c>
      <c r="E125" s="1" t="s">
        <v>908</v>
      </c>
      <c r="F125" s="1"/>
      <c r="G125" s="487"/>
      <c r="H125" s="1" t="s">
        <v>993</v>
      </c>
      <c r="I125" s="1" t="s">
        <v>907</v>
      </c>
      <c r="J125" s="1"/>
      <c r="K125" s="684">
        <f>DATA!D65+DATA!E65</f>
        <v>0</v>
      </c>
      <c r="L125" s="1" t="s">
        <v>908</v>
      </c>
      <c r="M125" s="1"/>
    </row>
    <row r="126" spans="1:13" x14ac:dyDescent="0.25">
      <c r="A126" s="1" t="s">
        <v>994</v>
      </c>
      <c r="B126" s="1" t="s">
        <v>855</v>
      </c>
      <c r="C126" s="1" t="s">
        <v>856</v>
      </c>
      <c r="D126" s="1" t="s">
        <v>857</v>
      </c>
      <c r="E126" s="1" t="s">
        <v>858</v>
      </c>
      <c r="F126" s="1"/>
      <c r="G126" s="487"/>
      <c r="H126" s="1" t="s">
        <v>994</v>
      </c>
      <c r="I126" s="1" t="s">
        <v>855</v>
      </c>
      <c r="J126" s="1" t="s">
        <v>856</v>
      </c>
      <c r="K126" s="1" t="s">
        <v>857</v>
      </c>
      <c r="L126" s="1" t="s">
        <v>858</v>
      </c>
      <c r="M126" s="1"/>
    </row>
    <row r="127" spans="1:13" x14ac:dyDescent="0.25">
      <c r="A127" s="1" t="s">
        <v>910</v>
      </c>
      <c r="B127" s="1" t="s">
        <v>862</v>
      </c>
      <c r="C127" s="1" t="s">
        <v>863</v>
      </c>
      <c r="D127" s="1">
        <v>300000</v>
      </c>
      <c r="E127" s="1">
        <v>500000</v>
      </c>
      <c r="F127" s="1"/>
      <c r="G127" s="487"/>
      <c r="H127" s="1" t="s">
        <v>910</v>
      </c>
      <c r="I127" s="1" t="s">
        <v>862</v>
      </c>
      <c r="J127" s="1" t="s">
        <v>863</v>
      </c>
      <c r="K127" s="1">
        <v>300000</v>
      </c>
      <c r="L127" s="1">
        <v>500000</v>
      </c>
      <c r="M127" s="1"/>
    </row>
    <row r="128" spans="1:13" x14ac:dyDescent="0.25">
      <c r="A128" s="1" t="s">
        <v>911</v>
      </c>
      <c r="B128" s="1">
        <f t="shared" ref="B128:C128" si="105">IF(AND($D$178&gt;=250000,($D$178&lt;500000)),($D$178-250000)*0.05)+IF(AND($D$178&gt;=500000,$D$178&lt;1000000),(12500+($D$178-500000)*0.2))+IF($D$178&gt;=1000000,(112500+($D$178-1000000)*0.3))</f>
        <v>0</v>
      </c>
      <c r="C128" s="1">
        <f t="shared" si="105"/>
        <v>0</v>
      </c>
      <c r="D128" s="1">
        <f>IF(AND($D$178&gt;=300000,($D$178&lt;500000)),($D$178-300000)*0.05)+IF(AND($D$178&gt;=500000,$D$178&lt;1000000),(10000+($D$178-500000)*0.2))+IF($D$178&gt;=1000000,(110000+($D$178-1000000)*0.3))</f>
        <v>0</v>
      </c>
      <c r="E128" s="1">
        <f>IF(AND($D$178&gt;=500000,($D$178&lt;500000)),($D$178-500000)*0)+IF(AND($D$178&gt;=500000,$D$178&lt;1000000),(0+($D$178-500000)*0.2))+IF($D$178&gt;=1000000,(100000+($D$178-1000000)*0.3))</f>
        <v>0</v>
      </c>
      <c r="F128" s="1"/>
      <c r="G128" s="487"/>
      <c r="H128" s="1" t="s">
        <v>911</v>
      </c>
      <c r="I128" s="1">
        <f t="shared" ref="I128:J128" si="106">IF(AND($K$178&gt;=250000,($K$178&lt;500000)),($K$178-250000)*0.05)+IF(AND($K$178&gt;=500000,$K$178&lt;1000000),(12500+($K$178-500000)*0.2))+IF($K$178&gt;=1000000,(112500+($K$178-1000000)*0.3))</f>
        <v>0</v>
      </c>
      <c r="J128" s="1">
        <f t="shared" si="106"/>
        <v>0</v>
      </c>
      <c r="K128" s="1">
        <f>IF(AND($K$178&gt;=300000,($K$178&lt;500000)),($K$178-300000)*0.05)+IF(AND($K$178&gt;=500000,$K$178&lt;1000000),(10000+($K$178-500000)*0.2))+IF($K$178&gt;=1000000,(110000+($K$178-1000000)*0.3))</f>
        <v>0</v>
      </c>
      <c r="L128" s="1">
        <f>IF(AND($K$178&gt;=500000,($K$178&lt;500000)),($K$178-500000)*0)+IF(AND($K$178&gt;=500000,$K$178&lt;1000000),(0+($K$178-500000)*0.2))+IF($K$178&gt;=1000000,(100000+($K$178-1000000)*0.3))</f>
        <v>0</v>
      </c>
      <c r="M128" s="1"/>
    </row>
    <row r="129" spans="1:13" x14ac:dyDescent="0.25">
      <c r="A129" s="1" t="s">
        <v>860</v>
      </c>
      <c r="B129" s="1">
        <f t="shared" ref="B129:D129" si="107">IF($D$178&lt;350001,MIN(B128,2500),0)</f>
        <v>0</v>
      </c>
      <c r="C129" s="1">
        <f t="shared" si="107"/>
        <v>0</v>
      </c>
      <c r="D129" s="1">
        <f t="shared" si="107"/>
        <v>0</v>
      </c>
      <c r="E129" s="1"/>
      <c r="F129" s="1"/>
      <c r="G129" s="487"/>
      <c r="H129" s="1" t="s">
        <v>860</v>
      </c>
      <c r="I129" s="1">
        <f t="shared" ref="I129:K129" si="108">IF($K$178&lt;350001,MIN(I128,2500),0)</f>
        <v>0</v>
      </c>
      <c r="J129" s="1">
        <f t="shared" si="108"/>
        <v>0</v>
      </c>
      <c r="K129" s="1">
        <f t="shared" si="108"/>
        <v>0</v>
      </c>
      <c r="L129" s="1"/>
      <c r="M129" s="1"/>
    </row>
    <row r="130" spans="1:13" x14ac:dyDescent="0.25">
      <c r="A130" s="1" t="s">
        <v>912</v>
      </c>
      <c r="B130" s="1">
        <f t="shared" ref="B130:E130" si="109">ROUND((B128-B129)*3%,0)</f>
        <v>0</v>
      </c>
      <c r="C130" s="1">
        <f t="shared" si="109"/>
        <v>0</v>
      </c>
      <c r="D130" s="1">
        <f t="shared" si="109"/>
        <v>0</v>
      </c>
      <c r="E130" s="1">
        <f t="shared" si="109"/>
        <v>0</v>
      </c>
      <c r="F130" s="1"/>
      <c r="G130" s="487"/>
      <c r="H130" s="1" t="s">
        <v>912</v>
      </c>
      <c r="I130" s="1">
        <f t="shared" ref="I130:L130" si="110">ROUND((I128-I129)*3%,0)</f>
        <v>0</v>
      </c>
      <c r="J130" s="1">
        <f t="shared" si="110"/>
        <v>0</v>
      </c>
      <c r="K130" s="1">
        <f t="shared" si="110"/>
        <v>0</v>
      </c>
      <c r="L130" s="1">
        <f t="shared" si="110"/>
        <v>0</v>
      </c>
      <c r="M130" s="1"/>
    </row>
    <row r="131" spans="1:13" x14ac:dyDescent="0.25">
      <c r="A131" s="1" t="s">
        <v>632</v>
      </c>
      <c r="B131" s="1">
        <f t="shared" ref="B131:E131" si="111">ROUND((B128-B129+B130),0)</f>
        <v>0</v>
      </c>
      <c r="C131" s="1">
        <f t="shared" si="111"/>
        <v>0</v>
      </c>
      <c r="D131" s="1">
        <f t="shared" si="111"/>
        <v>0</v>
      </c>
      <c r="E131" s="1">
        <f t="shared" si="111"/>
        <v>0</v>
      </c>
      <c r="F131" s="1">
        <f>IF($F$226="Male",B131,IF($F$226="female",C131,IF($F$226="Sr.citizen&gt;60&lt;80",D131,IF($F$226="above 80 years",E131,0))))</f>
        <v>0</v>
      </c>
      <c r="G131" s="487"/>
      <c r="H131" s="1" t="s">
        <v>632</v>
      </c>
      <c r="I131" s="1">
        <f t="shared" ref="I131:L131" si="112">ROUND((I128-I129+I130),0)</f>
        <v>0</v>
      </c>
      <c r="J131" s="1">
        <f t="shared" si="112"/>
        <v>0</v>
      </c>
      <c r="K131" s="1">
        <f t="shared" si="112"/>
        <v>0</v>
      </c>
      <c r="L131" s="1">
        <f t="shared" si="112"/>
        <v>0</v>
      </c>
      <c r="M131" s="1">
        <f>IF($F$226="Male",I131,IF($F$226="female",J131,IF($F$226="Sr.citizen&gt;60&lt;80",K131,IF($F$226="above 80 Years",L131,0))))</f>
        <v>0</v>
      </c>
    </row>
    <row r="132" spans="1:13" x14ac:dyDescent="0.25">
      <c r="A132" s="1" t="s">
        <v>904</v>
      </c>
      <c r="B132" s="1"/>
      <c r="C132" s="1"/>
      <c r="D132" s="1"/>
      <c r="E132" s="1"/>
      <c r="F132" s="1"/>
      <c r="G132" s="487"/>
      <c r="H132" s="1" t="s">
        <v>905</v>
      </c>
      <c r="I132" s="1"/>
      <c r="J132" s="1"/>
      <c r="K132" s="1"/>
      <c r="L132" s="1"/>
      <c r="M132" s="1"/>
    </row>
    <row r="133" spans="1:13" x14ac:dyDescent="0.25">
      <c r="A133" s="1" t="s">
        <v>995</v>
      </c>
      <c r="B133" s="1" t="s">
        <v>907</v>
      </c>
      <c r="C133" s="1"/>
      <c r="D133" s="684">
        <f>DATA!D64</f>
        <v>0</v>
      </c>
      <c r="E133" s="1" t="s">
        <v>908</v>
      </c>
      <c r="F133" s="1"/>
      <c r="G133" s="487"/>
      <c r="H133" s="1" t="s">
        <v>995</v>
      </c>
      <c r="I133" s="1" t="s">
        <v>907</v>
      </c>
      <c r="J133" s="1"/>
      <c r="K133" s="684">
        <f>DATA!D64+DATA!E64</f>
        <v>0</v>
      </c>
      <c r="L133" s="1" t="s">
        <v>908</v>
      </c>
      <c r="M133" s="1"/>
    </row>
    <row r="134" spans="1:13" x14ac:dyDescent="0.25">
      <c r="A134" s="1" t="s">
        <v>996</v>
      </c>
      <c r="B134" s="1" t="s">
        <v>855</v>
      </c>
      <c r="C134" s="1" t="s">
        <v>856</v>
      </c>
      <c r="D134" s="1" t="s">
        <v>857</v>
      </c>
      <c r="E134" s="1" t="s">
        <v>858</v>
      </c>
      <c r="F134" s="1"/>
      <c r="G134" s="487"/>
      <c r="H134" s="1" t="s">
        <v>996</v>
      </c>
      <c r="I134" s="1" t="s">
        <v>855</v>
      </c>
      <c r="J134" s="1" t="s">
        <v>856</v>
      </c>
      <c r="K134" s="1" t="s">
        <v>857</v>
      </c>
      <c r="L134" s="1" t="s">
        <v>858</v>
      </c>
      <c r="M134" s="1"/>
    </row>
    <row r="135" spans="1:13" x14ac:dyDescent="0.25">
      <c r="A135" s="1" t="s">
        <v>910</v>
      </c>
      <c r="B135" s="1" t="s">
        <v>862</v>
      </c>
      <c r="C135" s="1" t="s">
        <v>863</v>
      </c>
      <c r="D135" s="1">
        <v>300000</v>
      </c>
      <c r="E135" s="1">
        <v>500000</v>
      </c>
      <c r="F135" s="1"/>
      <c r="G135" s="487"/>
      <c r="H135" s="1" t="s">
        <v>910</v>
      </c>
      <c r="I135" s="1" t="s">
        <v>862</v>
      </c>
      <c r="J135" s="1" t="s">
        <v>863</v>
      </c>
      <c r="K135" s="1">
        <v>300000</v>
      </c>
      <c r="L135" s="1">
        <v>500000</v>
      </c>
      <c r="M135" s="1"/>
    </row>
    <row r="136" spans="1:13" x14ac:dyDescent="0.25">
      <c r="A136" s="1" t="s">
        <v>911</v>
      </c>
      <c r="B136" s="1">
        <f t="shared" ref="B136:C136" si="113">IF(AND($D$186&gt;=250000,($D$186&lt;500000)),($D$186-250000)*0.1)+IF(AND($D$186&gt;=500000,$D$186&lt;1000000),(25000+($D$186-500000)*0.2))+IF($D$186&gt;=1000000,(125000+($D$186-1000000)*0.3))</f>
        <v>0</v>
      </c>
      <c r="C136" s="1">
        <f t="shared" si="113"/>
        <v>0</v>
      </c>
      <c r="D136" s="1">
        <f>IF(AND($D$186&gt;=300000,($D$186&lt;500000)),($D$186-300000)*0.1)+IF(AND($D$186&gt;=500000,$D$186&lt;1000000),(20000+($D$186-500000)*0.2))+IF($D$186&gt;=1000000,(120000+($D$186-1000000)*0.3))</f>
        <v>0</v>
      </c>
      <c r="E136" s="1">
        <f>IF(AND($D$186&gt;=500000,($D$186&lt;500000)),($D$186-500000)*0)+IF(AND($D$186&gt;=500000,$D$186&lt;1000000),(0+($D$186-500000)*0.2))+IF($D$186&gt;=1000000,(100000+($D$186-1000000)*0.3))</f>
        <v>0</v>
      </c>
      <c r="F136" s="1"/>
      <c r="G136" s="487"/>
      <c r="H136" s="1" t="s">
        <v>911</v>
      </c>
      <c r="I136" s="1">
        <f t="shared" ref="I136:J136" si="114">IF(AND($K$186&gt;=250000,($K$186&lt;500000)),($K$186-250000)*0.1)+IF(AND($K$186&gt;=500000,$K$186&lt;1000000),(25000+($K$186-500000)*0.2))+IF($K$186&gt;=1000000,(125000+($K$186-1000000)*0.3))</f>
        <v>0</v>
      </c>
      <c r="J136" s="1">
        <f t="shared" si="114"/>
        <v>0</v>
      </c>
      <c r="K136" s="1">
        <f>IF(AND($K$186&gt;=300000,($K$186&lt;500000)),($K$186-300000)*0.1)+IF(AND($K$186&gt;=500000,$K$186&lt;1000000),(20000+($K$186-500000)*0.2))+IF($K$186&gt;=1000000,(120000+($K$186-1000000)*0.3))</f>
        <v>0</v>
      </c>
      <c r="L136" s="1">
        <f>IF(AND($K$186&gt;=500000,($K$186&lt;500000)),($K$186-500000)*0)+IF(AND($K$186&gt;=500000,$K$186&lt;1000000),(0+($K$186-500000)*0.2))+IF($K$186&gt;=1000000,(100000+($K$186-1000000)*0.3))</f>
        <v>0</v>
      </c>
      <c r="M136" s="1"/>
    </row>
    <row r="137" spans="1:13" x14ac:dyDescent="0.25">
      <c r="A137" s="1" t="s">
        <v>860</v>
      </c>
      <c r="B137" s="1">
        <f t="shared" ref="B137:E137" si="115">IF($D$186&lt;500001,MIN(B136,5000),0)</f>
        <v>0</v>
      </c>
      <c r="C137" s="1">
        <f t="shared" si="115"/>
        <v>0</v>
      </c>
      <c r="D137" s="1">
        <f t="shared" si="115"/>
        <v>0</v>
      </c>
      <c r="E137" s="1">
        <f t="shared" si="115"/>
        <v>0</v>
      </c>
      <c r="F137" s="1"/>
      <c r="G137" s="487"/>
      <c r="H137" s="1" t="s">
        <v>860</v>
      </c>
      <c r="I137" s="1">
        <f t="shared" ref="I137:L137" si="116">IF($K$186&lt;500001,MIN(I136,5000),0)</f>
        <v>0</v>
      </c>
      <c r="J137" s="1">
        <f t="shared" si="116"/>
        <v>0</v>
      </c>
      <c r="K137" s="1">
        <f t="shared" si="116"/>
        <v>0</v>
      </c>
      <c r="L137" s="1">
        <f t="shared" si="116"/>
        <v>0</v>
      </c>
      <c r="M137" s="1"/>
    </row>
    <row r="138" spans="1:13" x14ac:dyDescent="0.25">
      <c r="A138" s="1" t="s">
        <v>912</v>
      </c>
      <c r="B138" s="1">
        <f t="shared" ref="B138:E138" si="117">ROUND((B136-B137)*3%,0)</f>
        <v>0</v>
      </c>
      <c r="C138" s="1">
        <f t="shared" si="117"/>
        <v>0</v>
      </c>
      <c r="D138" s="1">
        <f t="shared" si="117"/>
        <v>0</v>
      </c>
      <c r="E138" s="1">
        <f t="shared" si="117"/>
        <v>0</v>
      </c>
      <c r="F138" s="1"/>
      <c r="G138" s="487"/>
      <c r="H138" s="1" t="s">
        <v>912</v>
      </c>
      <c r="I138" s="1">
        <f t="shared" ref="I138:L138" si="118">ROUND((I136-I137)*3%,0)</f>
        <v>0</v>
      </c>
      <c r="J138" s="1">
        <f t="shared" si="118"/>
        <v>0</v>
      </c>
      <c r="K138" s="1">
        <f t="shared" si="118"/>
        <v>0</v>
      </c>
      <c r="L138" s="1">
        <f t="shared" si="118"/>
        <v>0</v>
      </c>
      <c r="M138" s="1"/>
    </row>
    <row r="139" spans="1:13" x14ac:dyDescent="0.25">
      <c r="A139" s="1" t="s">
        <v>632</v>
      </c>
      <c r="B139" s="1">
        <f t="shared" ref="B139:E139" si="119">ROUND((B136-B137+B138),0)</f>
        <v>0</v>
      </c>
      <c r="C139" s="1">
        <f t="shared" si="119"/>
        <v>0</v>
      </c>
      <c r="D139" s="1">
        <f t="shared" si="119"/>
        <v>0</v>
      </c>
      <c r="E139" s="1">
        <f t="shared" si="119"/>
        <v>0</v>
      </c>
      <c r="F139" s="1">
        <f>IF($F$226="Male",B139,IF($F$226="female",C139,IF($F$226="Sr.citizen&gt;60&lt;80",D139,IF($F$226="above 80 years",E139,0))))</f>
        <v>0</v>
      </c>
      <c r="G139" s="487"/>
      <c r="H139" s="1" t="s">
        <v>632</v>
      </c>
      <c r="I139" s="1">
        <f t="shared" ref="I139:L139" si="120">ROUND((I136-I137+I138),0)</f>
        <v>0</v>
      </c>
      <c r="J139" s="1">
        <f t="shared" si="120"/>
        <v>0</v>
      </c>
      <c r="K139" s="1">
        <f t="shared" si="120"/>
        <v>0</v>
      </c>
      <c r="L139" s="1">
        <f t="shared" si="120"/>
        <v>0</v>
      </c>
      <c r="M139" s="1">
        <f>IF($F$226="Male",I139,IF($F$226="female",J139,IF($F$226="Sr.citizen&gt;60&lt;80",K139,IF($F$226="above 80 Years",L139,0))))</f>
        <v>0</v>
      </c>
    </row>
    <row r="140" spans="1:13" x14ac:dyDescent="0.25">
      <c r="A140" s="1" t="s">
        <v>904</v>
      </c>
      <c r="B140" s="1"/>
      <c r="C140" s="1"/>
      <c r="D140" s="1"/>
      <c r="E140" s="1"/>
      <c r="F140" s="1"/>
      <c r="G140" s="487"/>
      <c r="H140" s="1" t="s">
        <v>905</v>
      </c>
      <c r="I140" s="1"/>
      <c r="J140" s="1"/>
      <c r="K140" s="1"/>
      <c r="L140" s="1"/>
      <c r="M140" s="1"/>
    </row>
    <row r="141" spans="1:13" x14ac:dyDescent="0.25">
      <c r="A141" s="23" t="s">
        <v>997</v>
      </c>
      <c r="B141" s="1" t="s">
        <v>907</v>
      </c>
      <c r="C141" s="1"/>
      <c r="D141" s="684">
        <f>DATA!D63</f>
        <v>0</v>
      </c>
      <c r="E141" s="1" t="s">
        <v>908</v>
      </c>
      <c r="F141" s="1"/>
      <c r="G141" s="487"/>
      <c r="H141" s="1" t="s">
        <v>997</v>
      </c>
      <c r="I141" s="1" t="s">
        <v>907</v>
      </c>
      <c r="J141" s="1"/>
      <c r="K141" s="684">
        <f>DATA!E63+DATA!D63</f>
        <v>0</v>
      </c>
      <c r="L141" s="1" t="s">
        <v>908</v>
      </c>
      <c r="M141" s="1"/>
    </row>
    <row r="142" spans="1:13" x14ac:dyDescent="0.25">
      <c r="A142" s="1" t="s">
        <v>998</v>
      </c>
      <c r="B142" s="1" t="s">
        <v>855</v>
      </c>
      <c r="C142" s="1" t="s">
        <v>856</v>
      </c>
      <c r="D142" s="1" t="s">
        <v>857</v>
      </c>
      <c r="E142" s="1" t="s">
        <v>858</v>
      </c>
      <c r="F142" s="1"/>
      <c r="G142" s="487"/>
      <c r="H142" s="1" t="s">
        <v>998</v>
      </c>
      <c r="I142" s="1" t="s">
        <v>855</v>
      </c>
      <c r="J142" s="1" t="s">
        <v>856</v>
      </c>
      <c r="K142" s="1" t="s">
        <v>857</v>
      </c>
      <c r="L142" s="1" t="s">
        <v>858</v>
      </c>
      <c r="M142" s="1"/>
    </row>
    <row r="143" spans="1:13" x14ac:dyDescent="0.25">
      <c r="A143" s="1" t="s">
        <v>910</v>
      </c>
      <c r="B143" s="1" t="s">
        <v>862</v>
      </c>
      <c r="C143" s="1" t="s">
        <v>863</v>
      </c>
      <c r="D143" s="1">
        <v>300000</v>
      </c>
      <c r="E143" s="1">
        <v>500000</v>
      </c>
      <c r="F143" s="1"/>
      <c r="G143" s="487"/>
      <c r="H143" s="1" t="s">
        <v>910</v>
      </c>
      <c r="I143" s="1" t="s">
        <v>862</v>
      </c>
      <c r="J143" s="1" t="s">
        <v>863</v>
      </c>
      <c r="K143" s="1">
        <v>300000</v>
      </c>
      <c r="L143" s="1">
        <v>500000</v>
      </c>
      <c r="M143" s="1"/>
    </row>
    <row r="144" spans="1:13" x14ac:dyDescent="0.25">
      <c r="A144" s="1" t="s">
        <v>911</v>
      </c>
      <c r="B144" s="1">
        <f>IF(AND($D$194&gt;=250000,($D$194&lt;500000)),($D$194-250000)*0.1)+IF(AND($D$194&gt;=500000,$D$194&lt;1000000),(25000+($D$194-500000)*0.2))+IF($D$194&gt;=1000000,(125000+($D$194-1000000)*0.3))</f>
        <v>0</v>
      </c>
      <c r="C144" s="1">
        <f t="shared" ref="C144" si="121">IF(AND($D$194&gt;=250000,($D$194&lt;500000)),($D$194-250000)*0.1)+IF(AND($D$194&gt;=500000,$D$194&lt;1000000),(25000+($D$194-500000)*0.2))+IF($D$194&gt;=1000000,(125000+($D$194-1000000)*0.3))</f>
        <v>0</v>
      </c>
      <c r="D144" s="1">
        <f>IF(AND($D$194&gt;=300000,($D$194&lt;500000)),($D$194-300000)*0.1)+IF(AND($D$194&gt;=500000,$D$194&lt;1000000),(20000+($D$194-500000)*0.2))+IF($D$194&gt;=1000000,(120000+($D$194-1000000)*0.3))</f>
        <v>0</v>
      </c>
      <c r="E144" s="1">
        <f>IF(AND($D$194&gt;=500000,($D$194&lt;500000)),($D$194-500000)*0)+IF(AND($D$194&gt;=500000,$D$194&lt;1000000),(0+($D$194-500000)*0.2))+IF($D$194&gt;=1000000,(100000+($D$194-1000000)*0.3))</f>
        <v>0</v>
      </c>
      <c r="F144" s="1"/>
      <c r="G144" s="487"/>
      <c r="H144" s="1" t="s">
        <v>911</v>
      </c>
      <c r="I144" s="1">
        <f t="shared" ref="I144:J144" si="122">IF(AND($K$194&gt;=250000,($K$194&lt;500000)),($K$194-250000)*0.1)+IF(AND($K$194&gt;=500000,$K$194&lt;1000000),(25000+($K$194-500000)*0.2))+IF($K$194&gt;=1000000,(125000+($K$194-1000000)*0.3))</f>
        <v>0</v>
      </c>
      <c r="J144" s="1">
        <f t="shared" si="122"/>
        <v>0</v>
      </c>
      <c r="K144" s="1">
        <f>IF(AND($K$194&gt;=300000,($K$194&lt;500000)),($K$194-300000)*0.1)+IF(AND($K$194&gt;=500000,$K$194&lt;1000000),(20000+($K$194-500000)*0.2))+IF($K$194&gt;=1000000,(120000+($K$194-1000000)*0.3))</f>
        <v>0</v>
      </c>
      <c r="L144" s="1">
        <f>IF(AND($K$194&gt;=500000,($K$194&lt;500000)),($K$194-500000)*0)+IF(AND($K$194&gt;=500000,$K$194&lt;1000000),(0+($K$194-500000)*0.2))+IF($K$194&gt;=1000000,(100000+($K$194-1000000)*0.3))</f>
        <v>0</v>
      </c>
      <c r="M144" s="1"/>
    </row>
    <row r="145" spans="1:13" x14ac:dyDescent="0.25">
      <c r="A145" s="1" t="s">
        <v>860</v>
      </c>
      <c r="B145" s="1">
        <f t="shared" ref="B145:E145" si="123">IF($D$194&lt;500001,MIN(B144,2000),0)</f>
        <v>0</v>
      </c>
      <c r="C145" s="1">
        <f t="shared" si="123"/>
        <v>0</v>
      </c>
      <c r="D145" s="1">
        <f t="shared" si="123"/>
        <v>0</v>
      </c>
      <c r="E145" s="1">
        <f t="shared" si="123"/>
        <v>0</v>
      </c>
      <c r="F145" s="1"/>
      <c r="G145" s="487"/>
      <c r="H145" s="1" t="s">
        <v>860</v>
      </c>
      <c r="I145" s="1">
        <f t="shared" ref="I145:L145" si="124">IF($K$194&lt;500001,MIN(I144,2000),0)</f>
        <v>0</v>
      </c>
      <c r="J145" s="1">
        <f t="shared" si="124"/>
        <v>0</v>
      </c>
      <c r="K145" s="1">
        <f t="shared" si="124"/>
        <v>0</v>
      </c>
      <c r="L145" s="1">
        <f t="shared" si="124"/>
        <v>0</v>
      </c>
      <c r="M145" s="1"/>
    </row>
    <row r="146" spans="1:13" x14ac:dyDescent="0.25">
      <c r="A146" s="1" t="s">
        <v>912</v>
      </c>
      <c r="B146" s="1">
        <f t="shared" ref="B146:E146" si="125">ROUND((B144-B145)*3%,0)</f>
        <v>0</v>
      </c>
      <c r="C146" s="1">
        <f t="shared" si="125"/>
        <v>0</v>
      </c>
      <c r="D146" s="1">
        <f t="shared" si="125"/>
        <v>0</v>
      </c>
      <c r="E146" s="1">
        <f t="shared" si="125"/>
        <v>0</v>
      </c>
      <c r="F146" s="1"/>
      <c r="G146" s="487"/>
      <c r="H146" s="1" t="s">
        <v>912</v>
      </c>
      <c r="I146" s="1">
        <f t="shared" ref="I146:L146" si="126">ROUND((I144-I145)*3%,0)</f>
        <v>0</v>
      </c>
      <c r="J146" s="1">
        <f t="shared" si="126"/>
        <v>0</v>
      </c>
      <c r="K146" s="1">
        <f t="shared" si="126"/>
        <v>0</v>
      </c>
      <c r="L146" s="1">
        <f t="shared" si="126"/>
        <v>0</v>
      </c>
      <c r="M146" s="1"/>
    </row>
    <row r="147" spans="1:13" x14ac:dyDescent="0.25">
      <c r="A147" s="1" t="s">
        <v>632</v>
      </c>
      <c r="B147" s="1">
        <f t="shared" ref="B147:E147" si="127">ROUND((B144-B145+B146),0)</f>
        <v>0</v>
      </c>
      <c r="C147" s="1">
        <f t="shared" si="127"/>
        <v>0</v>
      </c>
      <c r="D147" s="1">
        <f t="shared" si="127"/>
        <v>0</v>
      </c>
      <c r="E147" s="1">
        <f t="shared" si="127"/>
        <v>0</v>
      </c>
      <c r="F147" s="1">
        <f>IF($F$226="Male",B147,IF($F$226="female",C147,IF($F$226="Sr.citizen&gt;60&lt;80",D147,IF($F$226="above 80 Years",E147,0))))</f>
        <v>0</v>
      </c>
      <c r="G147" s="487"/>
      <c r="H147" s="1" t="s">
        <v>632</v>
      </c>
      <c r="I147" s="1">
        <f t="shared" ref="I147:L147" si="128">ROUND((I144-I145+I146),0)</f>
        <v>0</v>
      </c>
      <c r="J147" s="1">
        <f t="shared" si="128"/>
        <v>0</v>
      </c>
      <c r="K147" s="1">
        <f t="shared" si="128"/>
        <v>0</v>
      </c>
      <c r="L147" s="1">
        <f t="shared" si="128"/>
        <v>0</v>
      </c>
      <c r="M147" s="1">
        <f>IF($F$226="Male",I147,IF($F$226="female",J147,IF($F$226="Sr.citizen&gt;60&lt;80",K147,IF($F$226="above 80 Years",L147,0))))</f>
        <v>0</v>
      </c>
    </row>
    <row r="148" spans="1:13" x14ac:dyDescent="0.25">
      <c r="A148" s="1"/>
      <c r="B148" s="1"/>
      <c r="C148" s="1"/>
      <c r="D148" s="1"/>
      <c r="E148" s="1"/>
      <c r="F148" s="1"/>
      <c r="G148" s="487"/>
      <c r="H148" s="1"/>
      <c r="I148" s="1"/>
      <c r="J148" s="1"/>
      <c r="K148" s="1"/>
      <c r="L148" s="1"/>
      <c r="M148" s="1"/>
    </row>
    <row r="149" spans="1:13" x14ac:dyDescent="0.25">
      <c r="A149" s="1" t="s">
        <v>904</v>
      </c>
      <c r="B149" s="1"/>
      <c r="C149" s="1"/>
      <c r="D149" s="1"/>
      <c r="E149" s="1"/>
      <c r="F149" s="1"/>
      <c r="G149" s="487"/>
      <c r="H149" s="1" t="s">
        <v>905</v>
      </c>
      <c r="I149" s="1"/>
      <c r="J149" s="1"/>
      <c r="K149" s="1"/>
      <c r="L149" s="1"/>
      <c r="M149" s="1"/>
    </row>
    <row r="150" spans="1:13" x14ac:dyDescent="0.25">
      <c r="A150" s="23" t="s">
        <v>906</v>
      </c>
      <c r="B150" s="1" t="s">
        <v>907</v>
      </c>
      <c r="C150" s="1"/>
      <c r="D150" s="684">
        <f>DATA!D62</f>
        <v>0</v>
      </c>
      <c r="E150" s="1" t="s">
        <v>908</v>
      </c>
      <c r="F150" s="1"/>
      <c r="G150" s="487"/>
      <c r="H150" s="1" t="s">
        <v>906</v>
      </c>
      <c r="I150" s="1" t="s">
        <v>907</v>
      </c>
      <c r="J150" s="1"/>
      <c r="K150" s="684">
        <f>DATA!D62+DATA!E62</f>
        <v>0</v>
      </c>
      <c r="L150" s="1" t="s">
        <v>908</v>
      </c>
      <c r="M150" s="1"/>
    </row>
    <row r="151" spans="1:13" x14ac:dyDescent="0.25">
      <c r="A151" s="1" t="s">
        <v>909</v>
      </c>
      <c r="B151" s="1" t="s">
        <v>855</v>
      </c>
      <c r="C151" s="1" t="s">
        <v>856</v>
      </c>
      <c r="D151" s="1" t="s">
        <v>857</v>
      </c>
      <c r="E151" s="1" t="s">
        <v>858</v>
      </c>
      <c r="F151" s="1"/>
      <c r="G151" s="487"/>
      <c r="H151" s="1" t="s">
        <v>909</v>
      </c>
      <c r="I151" s="1" t="s">
        <v>855</v>
      </c>
      <c r="J151" s="1" t="s">
        <v>856</v>
      </c>
      <c r="K151" s="1" t="s">
        <v>857</v>
      </c>
      <c r="L151" s="1" t="s">
        <v>858</v>
      </c>
      <c r="M151" s="1"/>
    </row>
    <row r="152" spans="1:13" x14ac:dyDescent="0.25">
      <c r="A152" s="1" t="s">
        <v>910</v>
      </c>
      <c r="B152" s="1" t="s">
        <v>862</v>
      </c>
      <c r="C152" s="1" t="s">
        <v>863</v>
      </c>
      <c r="D152" s="1">
        <v>300000</v>
      </c>
      <c r="E152" s="1">
        <v>500000</v>
      </c>
      <c r="F152" s="1"/>
      <c r="G152" s="487"/>
      <c r="H152" s="1" t="s">
        <v>910</v>
      </c>
      <c r="I152" s="1" t="s">
        <v>862</v>
      </c>
      <c r="J152" s="1" t="s">
        <v>863</v>
      </c>
      <c r="K152" s="1">
        <v>300000</v>
      </c>
      <c r="L152" s="1">
        <v>500000</v>
      </c>
      <c r="M152" s="1"/>
    </row>
    <row r="153" spans="1:13" x14ac:dyDescent="0.25">
      <c r="A153" s="1" t="s">
        <v>911</v>
      </c>
      <c r="B153" s="1">
        <f>IF(AND($D$150&gt;=250000,($D$150&lt;500000)),($D$150-250000)*0.1)+IF(AND($D$150&gt;=500000,$D$150&lt;1000000),(25000+($D$150-500000)*0.2))+IF($D$150&gt;=1000000,(125000+($D$150-1000000)*0.3))</f>
        <v>0</v>
      </c>
      <c r="C153" s="1">
        <f>IF(AND($D$150&gt;=250000,($D$150&lt;500000)),($D$150-250000)*0.1)+IF(AND($D$150&gt;=500000,$D$150&lt;1000000),(25000+($D$150-500000)*0.2))+IF($D$150&gt;=1000000,(125000+($D$150-1000000)*0.3))</f>
        <v>0</v>
      </c>
      <c r="D153" s="1">
        <f>IF(AND($D$150&gt;=300000,($D$150&lt;500000)),($D$150-300000)*0.1)+IF(AND($D$150&gt;=500000,$D$150&lt;1000000),(20000+($D$150-500000)*0.2))+IF($D$150&gt;=1000000,(120000+($D$150-1000000)*0.3))</f>
        <v>0</v>
      </c>
      <c r="E153" s="1">
        <f>IF(AND($D$150&gt;=500000,($D$150&lt;500000)),($D$150-500000)*0)+IF(AND($D$150&gt;=500000,$D$150&lt;1000000),(0+($D$150-500000)*0.2))+IF($D$150&gt;=1000000,(100000+($D$150-1000000)*0.3))</f>
        <v>0</v>
      </c>
      <c r="F153" s="1"/>
      <c r="G153" s="487"/>
      <c r="H153" s="1" t="s">
        <v>911</v>
      </c>
      <c r="I153" s="1">
        <f>IF(AND($K$150&gt;=250000,($K$150&lt;500000)),($K$150-250000)*0.1)+IF(AND($K$150&gt;=500000,$K$150&lt;1000000),(25000+($K$150-500000)*0.2))+IF($K$150&gt;=1000000,(125000+($K$150-1000000)*0.3))</f>
        <v>0</v>
      </c>
      <c r="J153" s="1">
        <f>IF(AND($K$150&gt;=250000,($K$150&lt;500000)),($K$150-250000)*0.1)+IF(AND($K$150&gt;=500000,$K$150&lt;1000000),(25000+($K$150-500000)*0.2))+IF($K$150&gt;=1000000,(125000+($K$150-1000000)*0.3))</f>
        <v>0</v>
      </c>
      <c r="K153" s="1">
        <f>IF(AND($K$150&gt;=300000,($K$150&lt;500000)),($K$150-300000)*0.1)+IF(AND($K$150&gt;=500000,$K$150&lt;1000000),(20000+($K$150-500000)*0.2))+IF($K$150&gt;=1000000,(120000+($K$150-1000000)*0.3))</f>
        <v>0</v>
      </c>
      <c r="L153" s="1">
        <f>IF(AND($K$150&gt;=500000,($K$150&lt;500000)),($K$150-500000)*0)+IF(AND($K$150&gt;=500000,$K$150&lt;1000000),(0+($K$150-500000)*0.2))+IF($K$150&gt;=1000000,(100000+($K$150-1000000)*0.3))</f>
        <v>0</v>
      </c>
      <c r="M153" s="1"/>
    </row>
    <row r="154" spans="1:13" x14ac:dyDescent="0.25">
      <c r="A154" s="1" t="s">
        <v>860</v>
      </c>
      <c r="B154" s="1">
        <f>IF($D$150&lt;500001,MIN(B153,2000),0)</f>
        <v>0</v>
      </c>
      <c r="C154" s="1">
        <f>IF($D$150&lt;500001,MIN(C153,2000),0)</f>
        <v>0</v>
      </c>
      <c r="D154" s="1">
        <f>IF($D$150&lt;500001,MIN(D153,2000),0)</f>
        <v>0</v>
      </c>
      <c r="E154" s="1">
        <f>IF($D$150&lt;500001,MIN(E153,2000),0)</f>
        <v>0</v>
      </c>
      <c r="F154" s="1"/>
      <c r="G154" s="487"/>
      <c r="H154" s="1" t="s">
        <v>860</v>
      </c>
      <c r="I154" s="1">
        <f>IF($K$150&lt;500001,MIN(I153,2000),0)</f>
        <v>0</v>
      </c>
      <c r="J154" s="1">
        <f>IF($K$150&lt;500001,MIN(J153,2000),0)</f>
        <v>0</v>
      </c>
      <c r="K154" s="1">
        <f>IF($K$150&lt;500001,MIN(K153,2000),0)</f>
        <v>0</v>
      </c>
      <c r="L154" s="1">
        <f>IF($K$150&lt;500001,MIN(L153,2000),0)</f>
        <v>0</v>
      </c>
      <c r="M154" s="1"/>
    </row>
    <row r="155" spans="1:13" x14ac:dyDescent="0.25">
      <c r="A155" s="1" t="s">
        <v>912</v>
      </c>
      <c r="B155" s="1">
        <f>ROUND((B153-B154)*3%,0)</f>
        <v>0</v>
      </c>
      <c r="C155" s="1">
        <f t="shared" ref="C155:E155" si="129">ROUND((C153-C154)*3%,0)</f>
        <v>0</v>
      </c>
      <c r="D155" s="1">
        <f t="shared" si="129"/>
        <v>0</v>
      </c>
      <c r="E155" s="1">
        <f t="shared" si="129"/>
        <v>0</v>
      </c>
      <c r="F155" s="1"/>
      <c r="G155" s="487"/>
      <c r="H155" s="1" t="s">
        <v>912</v>
      </c>
      <c r="I155" s="1">
        <f t="shared" ref="I155:L155" si="130">ROUND((I153-I154)*3%,0)</f>
        <v>0</v>
      </c>
      <c r="J155" s="1">
        <f t="shared" si="130"/>
        <v>0</v>
      </c>
      <c r="K155" s="1">
        <f t="shared" si="130"/>
        <v>0</v>
      </c>
      <c r="L155" s="1">
        <f t="shared" si="130"/>
        <v>0</v>
      </c>
      <c r="M155" s="1"/>
    </row>
    <row r="156" spans="1:13" x14ac:dyDescent="0.25">
      <c r="A156" s="1" t="s">
        <v>632</v>
      </c>
      <c r="B156" s="1">
        <f t="shared" ref="B156:E156" si="131">ROUND((B153-B154+B155),0)</f>
        <v>0</v>
      </c>
      <c r="C156" s="1">
        <f t="shared" si="131"/>
        <v>0</v>
      </c>
      <c r="D156" s="1">
        <f t="shared" si="131"/>
        <v>0</v>
      </c>
      <c r="E156" s="1">
        <f t="shared" si="131"/>
        <v>0</v>
      </c>
      <c r="F156" s="1">
        <f>IF($F$226="Male",B156,IF($F$226="female",C156,IF($F$226="Sr.citizen&gt;60&lt;80",D156,IF($F$226="above 80 years",E156,0))))</f>
        <v>0</v>
      </c>
      <c r="G156" s="487"/>
      <c r="H156" s="1" t="s">
        <v>632</v>
      </c>
      <c r="I156" s="1">
        <f t="shared" ref="I156:L156" si="132">ROUND((I153-I154+I155),0)</f>
        <v>0</v>
      </c>
      <c r="J156" s="1">
        <f t="shared" si="132"/>
        <v>0</v>
      </c>
      <c r="K156" s="1">
        <f t="shared" si="132"/>
        <v>0</v>
      </c>
      <c r="L156" s="1">
        <f t="shared" si="132"/>
        <v>0</v>
      </c>
      <c r="M156" s="1">
        <f>IF($F$226="Male",I156,IF($F$226="female",J156,IF($F$226="Sr.citizen&gt;60&lt;80",K156,IF($F$226="above 80 years",L156,0))))</f>
        <v>0</v>
      </c>
    </row>
    <row r="157" spans="1:13" x14ac:dyDescent="0.25">
      <c r="A157" s="1" t="s">
        <v>904</v>
      </c>
      <c r="B157" s="1"/>
      <c r="C157" s="1"/>
      <c r="D157" s="1"/>
      <c r="E157" s="1"/>
      <c r="F157" s="1"/>
      <c r="G157" s="487"/>
      <c r="H157" s="1" t="s">
        <v>905</v>
      </c>
      <c r="I157" s="1"/>
      <c r="J157" s="1"/>
      <c r="K157" s="1"/>
      <c r="L157" s="1"/>
      <c r="M157" s="1"/>
    </row>
    <row r="158" spans="1:13" x14ac:dyDescent="0.25">
      <c r="A158" s="23" t="s">
        <v>913</v>
      </c>
      <c r="B158" s="1" t="s">
        <v>907</v>
      </c>
      <c r="C158" s="1"/>
      <c r="D158" s="684">
        <f>DATA!D61</f>
        <v>0</v>
      </c>
      <c r="E158" s="1" t="s">
        <v>908</v>
      </c>
      <c r="F158" s="1"/>
      <c r="G158" s="487"/>
      <c r="H158" s="1" t="s">
        <v>913</v>
      </c>
      <c r="I158" s="1" t="s">
        <v>907</v>
      </c>
      <c r="J158" s="1"/>
      <c r="K158" s="684">
        <f>DATA!D61+DATA!E61</f>
        <v>0</v>
      </c>
      <c r="L158" s="1" t="s">
        <v>908</v>
      </c>
      <c r="M158" s="1"/>
    </row>
    <row r="159" spans="1:13" x14ac:dyDescent="0.25">
      <c r="A159" s="1" t="s">
        <v>914</v>
      </c>
      <c r="B159" s="1" t="s">
        <v>855</v>
      </c>
      <c r="C159" s="1" t="s">
        <v>856</v>
      </c>
      <c r="D159" s="1" t="s">
        <v>857</v>
      </c>
      <c r="E159" s="1" t="s">
        <v>858</v>
      </c>
      <c r="F159" s="1"/>
      <c r="G159" s="487"/>
      <c r="H159" s="1" t="s">
        <v>914</v>
      </c>
      <c r="I159" s="1" t="s">
        <v>855</v>
      </c>
      <c r="J159" s="1" t="s">
        <v>856</v>
      </c>
      <c r="K159" s="1" t="s">
        <v>857</v>
      </c>
      <c r="L159" s="1" t="s">
        <v>858</v>
      </c>
      <c r="M159" s="1"/>
    </row>
    <row r="160" spans="1:13" x14ac:dyDescent="0.25">
      <c r="A160" s="1" t="s">
        <v>910</v>
      </c>
      <c r="B160" s="1" t="s">
        <v>915</v>
      </c>
      <c r="C160" s="1" t="s">
        <v>916</v>
      </c>
      <c r="D160" s="1">
        <v>250000</v>
      </c>
      <c r="E160" s="1">
        <v>500000</v>
      </c>
      <c r="F160" s="1"/>
      <c r="G160" s="487"/>
      <c r="H160" s="1" t="s">
        <v>910</v>
      </c>
      <c r="I160" s="1" t="s">
        <v>915</v>
      </c>
      <c r="J160" s="1" t="s">
        <v>916</v>
      </c>
      <c r="K160" s="1">
        <v>250000</v>
      </c>
      <c r="L160" s="1">
        <v>500000</v>
      </c>
      <c r="M160" s="1"/>
    </row>
    <row r="161" spans="1:13" x14ac:dyDescent="0.25">
      <c r="A161" s="1" t="s">
        <v>911</v>
      </c>
      <c r="B161" s="1">
        <f>IF(AND($D$158&gt;=200000,($D$158&lt;500000)),($D$158-200000)*0.1)+IF(AND($D$158&gt;=500000,$D$158&lt;1000000),(30000+($D$158-500000)*0.2))+IF($D$158&gt;=1000000,(130000+($D$158-1000000)*0.3))</f>
        <v>0</v>
      </c>
      <c r="C161" s="1">
        <f>IF(AND($D$158&gt;=200000,($D$158&lt;500000)),($D$158-200000)*0.1)+IF(AND($D$158&gt;=500000,$D$158&lt;1000000),(30000+($D$158-500000)*0.2))+IF($D$158&gt;=1000000,(130000+($D$158-1000000)*0.3))</f>
        <v>0</v>
      </c>
      <c r="D161" s="1">
        <f>IF(AND($D$158&gt;=250000,($D$158&lt;500000)),($D$158-250000)*0.1)+IF(AND($D$158&gt;=500000,$D$158&lt;1000000),(25000+($D$158-500000)*0.2))+IF($D$158&gt;=1000000,(125000+($D$158-1000000)*0.3))</f>
        <v>0</v>
      </c>
      <c r="E161" s="1">
        <f>IF(AND($D$158&gt;=250000,($D$158&lt;500000)),($D$158-250000)*0)+IF(AND($D$158&gt;=500000,$D$158&lt;1000000),(0+($D$158-500000)*0.2))+IF($D$158&gt;=1000000,(100000+($D$158-1000000)*0.3))</f>
        <v>0</v>
      </c>
      <c r="F161" s="1"/>
      <c r="G161" s="487"/>
      <c r="H161" s="1" t="s">
        <v>911</v>
      </c>
      <c r="I161" s="1">
        <f>IF(AND($K$158&gt;=200000,($K$158&lt;500000)),($K$158-200000)*0.1)+IF(AND($K$158&gt;=500000,$K$158&lt;1000000),(30000+($K$158-500000)*0.2))+IF($K$158&gt;=1000000,(130000+($K$158-1000000)*0.3))</f>
        <v>0</v>
      </c>
      <c r="J161" s="1">
        <f>IF(AND($K$158&gt;=200000,($K$158&lt;500000)),($K$158-200000)*0.1)+IF(AND($K$158&gt;=500000,$K$158&lt;1000000),(30000+($K$158-500000)*0.2))+IF($K$158&gt;=1000000,(130000+($K$158-1000000)*0.3))</f>
        <v>0</v>
      </c>
      <c r="K161" s="1">
        <f>IF(AND($K$158&gt;=250000,($K$158&lt;500000)),($K$158-250000)*0.1)+IF(AND($K$158&gt;=500000,$K$158&lt;1000000),(25000+($K$158-500000)*0.2))+IF($K$158&gt;=1000000,(125000+($K$158-1000000)*0.3))</f>
        <v>0</v>
      </c>
      <c r="L161" s="1">
        <f>IF(AND($K$158&gt;=250000,($K$158&lt;500000)),($K$158-250000)*0)+IF(AND($K$158&gt;=500000,$K$158&lt;1000000),(0+($K$158-500000)*0.2))+IF($K$158&gt;=1000000,(100000+($K$158-1000000)*0.3))</f>
        <v>0</v>
      </c>
      <c r="M161" s="1"/>
    </row>
    <row r="162" spans="1:13" x14ac:dyDescent="0.25">
      <c r="A162" s="1" t="s">
        <v>860</v>
      </c>
      <c r="B162" s="1">
        <f>IF($D$158&lt;500001,MIN(B161,2000),0)</f>
        <v>0</v>
      </c>
      <c r="C162" s="1">
        <f>IF($D$158&lt;500001,MIN(C161,2000),0)</f>
        <v>0</v>
      </c>
      <c r="D162" s="1">
        <f>IF($D$158&lt;500001,MIN(D161,2000),0)</f>
        <v>0</v>
      </c>
      <c r="E162" s="1">
        <f>IF($D$158&lt;500001,MIN(E161,2000),0)</f>
        <v>0</v>
      </c>
      <c r="F162" s="1"/>
      <c r="G162" s="487"/>
      <c r="H162" s="1" t="s">
        <v>860</v>
      </c>
      <c r="I162" s="1">
        <f>IF($K$158&lt;500001,MIN(I161,2000),0)</f>
        <v>0</v>
      </c>
      <c r="J162" s="1">
        <f>IF($K$158&lt;500001,MIN(J161,2000),0)</f>
        <v>0</v>
      </c>
      <c r="K162" s="1">
        <f>IF($K$158&lt;500001,MIN(K161,2000),0)</f>
        <v>0</v>
      </c>
      <c r="L162" s="1">
        <f>IF($K$158&lt;500001,MIN(L161,2000),0)</f>
        <v>0</v>
      </c>
      <c r="M162" s="1"/>
    </row>
    <row r="163" spans="1:13" x14ac:dyDescent="0.25">
      <c r="A163" s="1" t="s">
        <v>912</v>
      </c>
      <c r="B163" s="1">
        <f t="shared" ref="B163:E163" si="133">ROUND((B161-B162)*3%,0)</f>
        <v>0</v>
      </c>
      <c r="C163" s="1">
        <f t="shared" si="133"/>
        <v>0</v>
      </c>
      <c r="D163" s="1">
        <f t="shared" si="133"/>
        <v>0</v>
      </c>
      <c r="E163" s="1">
        <f t="shared" si="133"/>
        <v>0</v>
      </c>
      <c r="F163" s="1"/>
      <c r="G163" s="487"/>
      <c r="H163" s="1" t="s">
        <v>912</v>
      </c>
      <c r="I163" s="1">
        <f t="shared" ref="I163:L163" si="134">ROUND((I161-I162)*3%,0)</f>
        <v>0</v>
      </c>
      <c r="J163" s="1">
        <f t="shared" si="134"/>
        <v>0</v>
      </c>
      <c r="K163" s="1">
        <f t="shared" si="134"/>
        <v>0</v>
      </c>
      <c r="L163" s="1">
        <f t="shared" si="134"/>
        <v>0</v>
      </c>
      <c r="M163" s="1"/>
    </row>
    <row r="164" spans="1:13" x14ac:dyDescent="0.25">
      <c r="A164" s="1" t="s">
        <v>632</v>
      </c>
      <c r="B164" s="1">
        <f t="shared" ref="B164:E164" si="135">ROUND((B161-B162+B163),0)</f>
        <v>0</v>
      </c>
      <c r="C164" s="1">
        <f t="shared" si="135"/>
        <v>0</v>
      </c>
      <c r="D164" s="1">
        <f t="shared" si="135"/>
        <v>0</v>
      </c>
      <c r="E164" s="1">
        <f t="shared" si="135"/>
        <v>0</v>
      </c>
      <c r="F164" s="1">
        <f>IF($F$226="Male",B164,IF($F$226="female",C164,IF($F$226="Sr.citizen&gt;60&lt;80",D164,IF($F$226="above 80 years",E164,0))))</f>
        <v>0</v>
      </c>
      <c r="G164" s="487"/>
      <c r="H164" s="1" t="s">
        <v>632</v>
      </c>
      <c r="I164" s="1">
        <f t="shared" ref="I164:L164" si="136">ROUND((I161-I162+I163),0)</f>
        <v>0</v>
      </c>
      <c r="J164" s="1">
        <f t="shared" si="136"/>
        <v>0</v>
      </c>
      <c r="K164" s="1">
        <f t="shared" si="136"/>
        <v>0</v>
      </c>
      <c r="L164" s="1">
        <f t="shared" si="136"/>
        <v>0</v>
      </c>
      <c r="M164" s="1">
        <f>IF($F$226="Male",I164,IF($F$226="female",J164,IF($F$226="Sr.citizen&gt;60&lt;80",K164,IF($F$226="above 80 years",L164,0))))</f>
        <v>0</v>
      </c>
    </row>
    <row r="165" spans="1:13" x14ac:dyDescent="0.25">
      <c r="A165" s="1" t="s">
        <v>904</v>
      </c>
      <c r="B165" s="1"/>
      <c r="C165" s="1"/>
      <c r="D165" s="1"/>
      <c r="E165" s="1"/>
      <c r="F165" s="1"/>
      <c r="G165" s="487"/>
      <c r="H165" s="1" t="s">
        <v>905</v>
      </c>
      <c r="I165" s="1"/>
      <c r="J165" s="1"/>
      <c r="K165" s="1"/>
      <c r="L165" s="1"/>
      <c r="M165" s="1"/>
    </row>
    <row r="166" spans="1:13" x14ac:dyDescent="0.25">
      <c r="A166" s="23" t="s">
        <v>917</v>
      </c>
      <c r="B166" s="1" t="s">
        <v>907</v>
      </c>
      <c r="C166" s="1"/>
      <c r="D166" s="684">
        <f>DATA!D60</f>
        <v>0</v>
      </c>
      <c r="E166" s="1" t="s">
        <v>908</v>
      </c>
      <c r="F166" s="1"/>
      <c r="G166" s="487"/>
      <c r="H166" s="1" t="s">
        <v>917</v>
      </c>
      <c r="I166" s="1" t="s">
        <v>907</v>
      </c>
      <c r="J166" s="1"/>
      <c r="K166" s="684">
        <f>DATA!D60+DATA!E60</f>
        <v>0</v>
      </c>
      <c r="L166" s="1" t="s">
        <v>908</v>
      </c>
      <c r="M166" s="1"/>
    </row>
    <row r="167" spans="1:13" x14ac:dyDescent="0.25">
      <c r="A167" s="1" t="s">
        <v>918</v>
      </c>
      <c r="B167" s="1" t="s">
        <v>855</v>
      </c>
      <c r="C167" s="1" t="s">
        <v>856</v>
      </c>
      <c r="D167" s="1" t="s">
        <v>857</v>
      </c>
      <c r="E167" s="1" t="s">
        <v>858</v>
      </c>
      <c r="F167" s="1"/>
      <c r="G167" s="487"/>
      <c r="H167" s="1" t="s">
        <v>918</v>
      </c>
      <c r="I167" s="1" t="s">
        <v>855</v>
      </c>
      <c r="J167" s="1" t="s">
        <v>856</v>
      </c>
      <c r="K167" s="1" t="s">
        <v>857</v>
      </c>
      <c r="L167" s="1" t="s">
        <v>858</v>
      </c>
      <c r="M167" s="1"/>
    </row>
    <row r="168" spans="1:13" x14ac:dyDescent="0.25">
      <c r="A168" s="1" t="s">
        <v>910</v>
      </c>
      <c r="B168" s="1" t="s">
        <v>915</v>
      </c>
      <c r="C168" s="1" t="s">
        <v>916</v>
      </c>
      <c r="D168" s="1">
        <v>250000</v>
      </c>
      <c r="E168" s="1">
        <v>500000</v>
      </c>
      <c r="F168" s="1"/>
      <c r="G168" s="487"/>
      <c r="H168" s="1" t="s">
        <v>910</v>
      </c>
      <c r="I168" s="1" t="s">
        <v>915</v>
      </c>
      <c r="J168" s="1" t="s">
        <v>916</v>
      </c>
      <c r="K168" s="1">
        <v>250000</v>
      </c>
      <c r="L168" s="1">
        <v>500000</v>
      </c>
      <c r="M168" s="1"/>
    </row>
    <row r="169" spans="1:13" x14ac:dyDescent="0.25">
      <c r="A169" s="1" t="s">
        <v>911</v>
      </c>
      <c r="B169" s="1">
        <f>IF(AND($D$166&gt;=200000,($D$166&lt;500000)),($D$166-200000)*0.1)+IF(AND($D$166&gt;=500000,$D$166&lt;1000000),(30000+($D$166-500000)*0.2))+IF($D$166&gt;=1000000,(130000+($D$166-1000000)*0.3))</f>
        <v>0</v>
      </c>
      <c r="C169" s="1">
        <f>IF(AND($D$166&gt;=200000,($D$166&lt;500000)),($D$166-200000)*0.1)+IF(AND($D$166&gt;=500000,$D$166&lt;1000000),(30000+($D$166-500000)*0.2))+IF($D$166&gt;=1000000,(130000+($D$166-1000000)*0.3))</f>
        <v>0</v>
      </c>
      <c r="D169" s="1">
        <f>IF(AND($D$166&gt;=250000,($D$166&lt;500000)),($D$166-250000)*0.1)+IF(AND($D$166&gt;=500000,$D$166&lt;1000000),(25000+($D$166-500000)*0.2))+IF($D$166&gt;=1000000,(125000+($D$166-1000000)*0.3))</f>
        <v>0</v>
      </c>
      <c r="E169" s="1">
        <f>IF(AND($D$166&gt;=250000,($D$166&lt;500000)),($D$166-250000)*0)+IF(AND($D$166&gt;=500000,$D$166&lt;1000000),(0+($D$166-500000)*0.2))+IF($D$166&gt;=1000000,(100000+($D$166-1000000)*0.3))</f>
        <v>0</v>
      </c>
      <c r="F169" s="1"/>
      <c r="G169" s="487"/>
      <c r="H169" s="1" t="s">
        <v>911</v>
      </c>
      <c r="I169" s="1">
        <f>IF(AND($K$166&gt;=200000,($K$166&lt;500000)),($K$166-200000)*0.1)+IF(AND($K$166&gt;=500000,$K$166&lt;1000000),(30000+($K$166-500000)*0.2))+IF($K$166&gt;=1000000,(130000+($K$166-1000000)*0.3))</f>
        <v>0</v>
      </c>
      <c r="J169" s="1">
        <f>IF(AND($K$166&gt;=200000,($K$166&lt;500000)),($K$166-200000)*0.1)+IF(AND($K$166&gt;=500000,$K$166&lt;1000000),(30000+($K$166-500000)*0.2))+IF($K$166&gt;=1000000,(130000+($K$166-1000000)*0.3))</f>
        <v>0</v>
      </c>
      <c r="K169" s="1">
        <f>IF(AND($K$166&gt;=250000,($K$166&lt;500000)),($K$166-250000)*0.1)+IF(AND($K$166&gt;=500000,$K$166&lt;1000000),(25000+($K$166-500000)*0.2))+IF($K$166&gt;=1000000,(125000+($K$166-1000000)*0.3))</f>
        <v>0</v>
      </c>
      <c r="L169" s="1">
        <f>IF(AND($K$166&gt;=250000,($K$166&lt;500000)),($K$166-250000)*0)+IF(AND($K$166&gt;=500000,$K$166&lt;1000000),(0+($K$166-500000)*0.2))+IF($K$166&gt;=1000000,(100000+($K$166-1000000)*0.3))</f>
        <v>0</v>
      </c>
      <c r="M169" s="1"/>
    </row>
    <row r="170" spans="1:13" x14ac:dyDescent="0.25">
      <c r="A170" s="1" t="s">
        <v>912</v>
      </c>
      <c r="B170" s="1">
        <f t="shared" ref="B170:E170" si="137">ROUND(B169*3%,0)</f>
        <v>0</v>
      </c>
      <c r="C170" s="1">
        <f t="shared" si="137"/>
        <v>0</v>
      </c>
      <c r="D170" s="1">
        <f t="shared" si="137"/>
        <v>0</v>
      </c>
      <c r="E170" s="1">
        <f t="shared" si="137"/>
        <v>0</v>
      </c>
      <c r="F170" s="1"/>
      <c r="G170" s="487"/>
      <c r="H170" s="1" t="s">
        <v>912</v>
      </c>
      <c r="I170" s="1">
        <f t="shared" ref="I170:L170" si="138">ROUND(I169*3%,0)</f>
        <v>0</v>
      </c>
      <c r="J170" s="1">
        <f t="shared" si="138"/>
        <v>0</v>
      </c>
      <c r="K170" s="1">
        <f t="shared" si="138"/>
        <v>0</v>
      </c>
      <c r="L170" s="1">
        <f t="shared" si="138"/>
        <v>0</v>
      </c>
      <c r="M170" s="1"/>
    </row>
    <row r="171" spans="1:13" x14ac:dyDescent="0.25">
      <c r="A171" s="1" t="s">
        <v>632</v>
      </c>
      <c r="B171" s="1">
        <f t="shared" ref="B171:E171" si="139">SUM(B169:B170)</f>
        <v>0</v>
      </c>
      <c r="C171" s="1">
        <f t="shared" si="139"/>
        <v>0</v>
      </c>
      <c r="D171" s="1">
        <f t="shared" si="139"/>
        <v>0</v>
      </c>
      <c r="E171" s="1">
        <f t="shared" si="139"/>
        <v>0</v>
      </c>
      <c r="F171" s="1">
        <f>IF($F$226="Male",B171,IF($F$226="female",C171,IF($F$226="Sr.citizen&gt;60&lt;80",D171,IF($F$226="above 80 years",E171,0))))</f>
        <v>0</v>
      </c>
      <c r="G171" s="487"/>
      <c r="H171" s="1" t="s">
        <v>632</v>
      </c>
      <c r="I171" s="1">
        <f t="shared" ref="I171:L171" si="140">SUM(I169:I170)</f>
        <v>0</v>
      </c>
      <c r="J171" s="1">
        <f t="shared" si="140"/>
        <v>0</v>
      </c>
      <c r="K171" s="1">
        <f t="shared" si="140"/>
        <v>0</v>
      </c>
      <c r="L171" s="1">
        <f t="shared" si="140"/>
        <v>0</v>
      </c>
      <c r="M171" s="1">
        <f>IF($F$226="Male",I171,IF($F$226="female",J171,IF($F$226="Sr.citizen&gt;60&lt;80",K171,IF($F$226="above 80 years",L171,0))))</f>
        <v>0</v>
      </c>
    </row>
    <row r="172" spans="1:13" x14ac:dyDescent="0.25">
      <c r="A172" s="1" t="s">
        <v>919</v>
      </c>
      <c r="B172" s="1"/>
      <c r="C172" s="1"/>
      <c r="D172" s="1"/>
      <c r="E172" s="1"/>
      <c r="F172" s="1"/>
      <c r="G172" s="487"/>
      <c r="H172" s="1" t="s">
        <v>920</v>
      </c>
      <c r="I172" s="1"/>
      <c r="J172" s="1"/>
      <c r="K172" s="1"/>
      <c r="L172" s="1"/>
      <c r="M172" s="1"/>
    </row>
    <row r="173" spans="1:13" x14ac:dyDescent="0.25">
      <c r="A173" s="23" t="s">
        <v>921</v>
      </c>
      <c r="B173" s="1" t="s">
        <v>907</v>
      </c>
      <c r="C173" s="1"/>
      <c r="D173" s="684">
        <f>DATA!D59</f>
        <v>0</v>
      </c>
      <c r="E173" s="1" t="s">
        <v>908</v>
      </c>
      <c r="F173" s="1" t="s">
        <v>320</v>
      </c>
      <c r="G173" s="487"/>
      <c r="H173" s="1" t="s">
        <v>921</v>
      </c>
      <c r="I173" s="1" t="s">
        <v>907</v>
      </c>
      <c r="J173" s="1"/>
      <c r="K173" s="684">
        <f>DATA!D59+DATA!E59</f>
        <v>0</v>
      </c>
      <c r="L173" s="1" t="s">
        <v>908</v>
      </c>
      <c r="M173" s="1"/>
    </row>
    <row r="174" spans="1:13" x14ac:dyDescent="0.25">
      <c r="A174" s="1" t="s">
        <v>922</v>
      </c>
      <c r="B174" s="1" t="s">
        <v>855</v>
      </c>
      <c r="C174" s="1" t="s">
        <v>856</v>
      </c>
      <c r="D174" s="1" t="s">
        <v>857</v>
      </c>
      <c r="E174" s="1" t="s">
        <v>858</v>
      </c>
      <c r="F174" s="1"/>
      <c r="G174" s="487"/>
      <c r="H174" s="1" t="s">
        <v>922</v>
      </c>
      <c r="I174" s="1" t="s">
        <v>855</v>
      </c>
      <c r="J174" s="1" t="s">
        <v>856</v>
      </c>
      <c r="K174" s="1" t="s">
        <v>857</v>
      </c>
      <c r="L174" s="1" t="s">
        <v>858</v>
      </c>
      <c r="M174" s="1"/>
    </row>
    <row r="175" spans="1:13" x14ac:dyDescent="0.25">
      <c r="A175" s="1" t="s">
        <v>910</v>
      </c>
      <c r="B175" s="1">
        <v>180000</v>
      </c>
      <c r="C175" s="1">
        <v>190000</v>
      </c>
      <c r="D175" s="1">
        <v>250000</v>
      </c>
      <c r="E175" s="1">
        <v>500000</v>
      </c>
      <c r="F175" s="1"/>
      <c r="G175" s="487"/>
      <c r="H175" s="1" t="s">
        <v>910</v>
      </c>
      <c r="I175" s="1">
        <v>180000</v>
      </c>
      <c r="J175" s="1">
        <v>190000</v>
      </c>
      <c r="K175" s="1">
        <v>250000</v>
      </c>
      <c r="L175" s="1">
        <v>500000</v>
      </c>
      <c r="M175" s="1"/>
    </row>
    <row r="176" spans="1:13" x14ac:dyDescent="0.25">
      <c r="A176" s="1" t="s">
        <v>911</v>
      </c>
      <c r="B176" s="1">
        <f>IF(AND($D$226&gt;=180000,($D$226&lt;500000)),($D$226-180000)*0.1)+IF(AND($D$226&gt;=500000,$D$226&lt;800000),(32000+($D$226-500000)*0.2))+IF($D$226&gt;=800000,(92000+($D$226-800000)*0.3))</f>
        <v>0</v>
      </c>
      <c r="C176" s="1">
        <f>IF(AND($D$226&gt;=190000,($D$226&lt;500000)),($D$226-190000)*0.1)+IF(AND($D$226&gt;=500000,$D$226&lt;800000),(31000+($D$226-500000)*0.2))+IF($D$226&gt;=800000,(91000+($D$226-800000)*0.3))</f>
        <v>0</v>
      </c>
      <c r="D176" s="1">
        <f>IF(AND($D$226&gt;=250000,($D$226&lt;500000)),($D$226-250000)*0.1)+IF(AND($D$226&gt;=500000,$D$226&lt;800000),(25000+($D$226-500000)*0.2))+IF($D$226&gt;=800000,(85000+($D$226-800000)*0.3))</f>
        <v>0</v>
      </c>
      <c r="E176" s="1">
        <f>IF(AND($D$226&gt;=250000,($D$226&lt;500000)),($D$226-250000)*0)+IF(AND($D$226&gt;=500000,$D$226&lt;800000),(0+($D$226-500000)*0.2))+IF($D$226&gt;=800000,(60000+($D$226-800000)*0.3))</f>
        <v>0</v>
      </c>
      <c r="F176" s="1"/>
      <c r="G176" s="487"/>
      <c r="H176" s="1" t="s">
        <v>911</v>
      </c>
      <c r="I176" s="1">
        <f>IF(AND($K$226&gt;=180000,($K$226&lt;500000)),($K$226-180000)*0.1)+IF(AND($K$226&gt;=500000,$K$226&lt;800000),(32000+($K$226-500000)*0.2))+IF($K$226&gt;=800000,(92000+($K$226-800000)*0.3))</f>
        <v>0</v>
      </c>
      <c r="J176" s="1">
        <f>IF(AND($K$226&gt;=190000,($K$226&lt;500000)),($K$226-190000)*0.1)+IF(AND($K$226&gt;=500000,$K$226&lt;800000),(31000+($K$226-500000)*0.2))+IF($K$226&gt;=800000,(91000+($K$226-800000)*0.3))</f>
        <v>0</v>
      </c>
      <c r="K176" s="1">
        <f>IF(AND($K$226&gt;=250000,($K$226&lt;500000)),($K$226-250000)*0.1)+IF(AND($K$226&gt;=500000,$K$226&lt;800000),(25000+($K$226-500000)*0.2))+IF($K$226&gt;=800000,(85000+($K$226-800000)*0.3))</f>
        <v>0</v>
      </c>
      <c r="L176" s="1">
        <f>IF(AND($K$226&gt;=250000,($K$226&lt;500000)),($K$226-250000)*0)+IF(AND($K$226&gt;=500000,$K$226&lt;800000),(0+($K$226-500000)*0.2))+IF($K$226&gt;=800000,(60000+($K$226-800000)*0.3))</f>
        <v>0</v>
      </c>
      <c r="M176" s="1"/>
    </row>
    <row r="177" spans="1:13" x14ac:dyDescent="0.25">
      <c r="A177" s="1" t="s">
        <v>912</v>
      </c>
      <c r="B177" s="1">
        <f>+B176*0.03</f>
        <v>0</v>
      </c>
      <c r="C177" s="1">
        <f t="shared" ref="C177:E177" si="141">+C176*0.03</f>
        <v>0</v>
      </c>
      <c r="D177" s="1">
        <f t="shared" si="141"/>
        <v>0</v>
      </c>
      <c r="E177" s="1">
        <f t="shared" si="141"/>
        <v>0</v>
      </c>
      <c r="F177" s="1"/>
      <c r="G177" s="487"/>
      <c r="H177" s="1" t="s">
        <v>912</v>
      </c>
      <c r="I177" s="1">
        <f t="shared" ref="I177:L177" si="142">+I176*0.03</f>
        <v>0</v>
      </c>
      <c r="J177" s="1">
        <f t="shared" si="142"/>
        <v>0</v>
      </c>
      <c r="K177" s="1">
        <f t="shared" si="142"/>
        <v>0</v>
      </c>
      <c r="L177" s="1">
        <f t="shared" si="142"/>
        <v>0</v>
      </c>
      <c r="M177" s="1"/>
    </row>
    <row r="178" spans="1:13" x14ac:dyDescent="0.25">
      <c r="A178" s="1" t="s">
        <v>632</v>
      </c>
      <c r="B178" s="1">
        <f>SUM(B176:B177)</f>
        <v>0</v>
      </c>
      <c r="C178" s="1">
        <f t="shared" ref="C178:E178" si="143">SUM(C176:C177)</f>
        <v>0</v>
      </c>
      <c r="D178" s="1">
        <f t="shared" si="143"/>
        <v>0</v>
      </c>
      <c r="E178" s="1">
        <f t="shared" si="143"/>
        <v>0</v>
      </c>
      <c r="F178" s="1"/>
      <c r="G178" s="487"/>
      <c r="H178" s="1" t="s">
        <v>632</v>
      </c>
      <c r="I178" s="1">
        <f t="shared" ref="I178:L178" si="144">SUM(I176:I177)</f>
        <v>0</v>
      </c>
      <c r="J178" s="1">
        <f t="shared" si="144"/>
        <v>0</v>
      </c>
      <c r="K178" s="1">
        <f t="shared" si="144"/>
        <v>0</v>
      </c>
      <c r="L178" s="1">
        <f t="shared" si="144"/>
        <v>0</v>
      </c>
      <c r="M178" s="1"/>
    </row>
    <row r="179" spans="1:13" x14ac:dyDescent="0.25">
      <c r="A179" s="1"/>
      <c r="B179" s="1"/>
      <c r="C179" s="1"/>
      <c r="D179" s="1"/>
      <c r="E179" s="1" t="s">
        <v>923</v>
      </c>
      <c r="F179" s="1">
        <f>IF($F$226="Male",B178,IF($F$226="female",C178,IF($F$226="Sr.citizen&gt;60&lt;80",D178,IF($F$226="above 80 years",E178,0))))</f>
        <v>0</v>
      </c>
      <c r="G179" s="487"/>
      <c r="H179" s="1"/>
      <c r="I179" s="1"/>
      <c r="J179" s="1"/>
      <c r="K179" s="1"/>
      <c r="L179" s="1" t="s">
        <v>923</v>
      </c>
      <c r="M179" s="1">
        <f>IF($F$226="Male",I178,IF($F$226="female",J178,IF($F$226="Sr.citizen&gt;60&lt;80",K178,IF($F$226="above 80 years",L178,0))))</f>
        <v>0</v>
      </c>
    </row>
    <row r="180" spans="1:13" x14ac:dyDescent="0.25">
      <c r="A180" s="1" t="s">
        <v>924</v>
      </c>
      <c r="B180" s="1" t="s">
        <v>925</v>
      </c>
      <c r="C180" s="1"/>
      <c r="D180" s="23">
        <v>0</v>
      </c>
      <c r="E180" s="1"/>
      <c r="F180" s="1"/>
      <c r="G180" s="487"/>
      <c r="H180" s="1" t="s">
        <v>924</v>
      </c>
      <c r="I180" s="1" t="s">
        <v>925</v>
      </c>
      <c r="J180" s="1"/>
      <c r="K180" s="23">
        <v>0</v>
      </c>
      <c r="L180" s="1"/>
      <c r="M180" s="1"/>
    </row>
    <row r="181" spans="1:13" x14ac:dyDescent="0.25">
      <c r="A181" s="1" t="s">
        <v>926</v>
      </c>
      <c r="B181" s="1" t="s">
        <v>855</v>
      </c>
      <c r="C181" s="1" t="s">
        <v>856</v>
      </c>
      <c r="D181" s="1" t="s">
        <v>927</v>
      </c>
      <c r="E181" s="1"/>
      <c r="F181" s="1"/>
      <c r="G181" s="487"/>
      <c r="H181" s="1" t="s">
        <v>926</v>
      </c>
      <c r="I181" s="1" t="s">
        <v>855</v>
      </c>
      <c r="J181" s="1" t="s">
        <v>856</v>
      </c>
      <c r="K181" s="1" t="s">
        <v>927</v>
      </c>
      <c r="L181" s="1"/>
      <c r="M181" s="1"/>
    </row>
    <row r="182" spans="1:13" x14ac:dyDescent="0.25">
      <c r="A182" s="1" t="s">
        <v>910</v>
      </c>
      <c r="B182" s="1">
        <v>160000</v>
      </c>
      <c r="C182" s="1">
        <v>190000</v>
      </c>
      <c r="D182" s="1">
        <v>240000</v>
      </c>
      <c r="E182" s="1"/>
      <c r="F182" s="1"/>
      <c r="G182" s="487"/>
      <c r="H182" s="1" t="s">
        <v>910</v>
      </c>
      <c r="I182" s="1">
        <v>160000</v>
      </c>
      <c r="J182" s="1">
        <v>190000</v>
      </c>
      <c r="K182" s="1">
        <v>240000</v>
      </c>
      <c r="L182" s="1"/>
      <c r="M182" s="1"/>
    </row>
    <row r="183" spans="1:13" x14ac:dyDescent="0.25">
      <c r="A183" s="1" t="s">
        <v>911</v>
      </c>
      <c r="B183" s="1">
        <f>IF(AND($D$233&gt;=160000,($D$233&lt;500000)),($D$233-160000)*0.1)+IF(AND($D$233&gt;=500000,$D$233&lt;800000),(34000+($D$233-500000)*0.2))+IF($D$233&gt;=800000,(94000+($D$233-800000)*0.3))</f>
        <v>0</v>
      </c>
      <c r="C183" s="1">
        <f>IF(AND($D$233&gt;=190000,($D$233&lt;500000)),($D$233-190000)*0.1)+IF(AND($D$233&gt;=500000,$D$233&lt;800000),(31000+($D$233-500000)*0.2))+IF($D$233&gt;=800000,(91000+($D$233-800000)*0.3))</f>
        <v>0</v>
      </c>
      <c r="D183" s="1">
        <f>IF(AND($D$233&gt;=240000,($D$233&lt;500000)),($D$233-240000)*0.1)+IF(AND($D$233&gt;=500000,$D$233&lt;800000),(26000+($D$233-500000)*0.2))+IF($D$233&gt;=800000,(86000+($D$233-800000)*0.3))</f>
        <v>0</v>
      </c>
      <c r="E183" s="1"/>
      <c r="F183" s="1"/>
      <c r="G183" s="487"/>
      <c r="H183" s="1" t="s">
        <v>911</v>
      </c>
      <c r="I183" s="1">
        <f>IF(AND($K$233&gt;=160000,($K$233&lt;500000)),($K$233-160000)*0.1)+IF(AND($K$233&gt;=500000,$K$233&lt;800000),(34000+($K$233-500000)*0.2))+IF($K$233&gt;=800000,(94000+($K$233-800000)*0.3))</f>
        <v>0</v>
      </c>
      <c r="J183" s="1">
        <f>IF(AND($K$233&gt;=190000,($K$233&lt;500000)),($K$233-190000)*0.1)+IF(AND($K$233&gt;=500000,$K$233&lt;800000),(31000+($K$233-500000)*0.2))+IF($K$233&gt;=800000,(91000+($K$233-800000)*0.3))</f>
        <v>0</v>
      </c>
      <c r="K183" s="1">
        <f>IF(AND($K$233&gt;=240000,($K$233&lt;500000)),($K$233-240000)*0.1)+IF(AND($K$233&gt;=500000,$K$233&lt;800000),(26000+($K$233-500000)*0.2))+IF($K$233&gt;=800000,(86000+($K$233-800000)*0.3))</f>
        <v>0</v>
      </c>
      <c r="L183" s="1"/>
      <c r="M183" s="1"/>
    </row>
    <row r="184" spans="1:13" x14ac:dyDescent="0.25">
      <c r="A184" s="1" t="s">
        <v>912</v>
      </c>
      <c r="B184" s="1">
        <f t="shared" ref="B184:D184" si="145">+B183*0.03</f>
        <v>0</v>
      </c>
      <c r="C184" s="1">
        <f t="shared" si="145"/>
        <v>0</v>
      </c>
      <c r="D184" s="1">
        <f t="shared" si="145"/>
        <v>0</v>
      </c>
      <c r="E184" s="1"/>
      <c r="F184" s="1"/>
      <c r="G184" s="487"/>
      <c r="H184" s="1" t="s">
        <v>912</v>
      </c>
      <c r="I184" s="1">
        <f t="shared" ref="I184:K184" si="146">+I183*0.03</f>
        <v>0</v>
      </c>
      <c r="J184" s="1">
        <f t="shared" si="146"/>
        <v>0</v>
      </c>
      <c r="K184" s="1">
        <f t="shared" si="146"/>
        <v>0</v>
      </c>
      <c r="L184" s="1"/>
      <c r="M184" s="1"/>
    </row>
    <row r="185" spans="1:13" x14ac:dyDescent="0.25">
      <c r="A185" s="1" t="s">
        <v>632</v>
      </c>
      <c r="B185" s="1">
        <f t="shared" ref="B185:D185" si="147">SUM(B183:B184)</f>
        <v>0</v>
      </c>
      <c r="C185" s="1">
        <f t="shared" si="147"/>
        <v>0</v>
      </c>
      <c r="D185" s="1">
        <f t="shared" si="147"/>
        <v>0</v>
      </c>
      <c r="E185" s="1" t="s">
        <v>923</v>
      </c>
      <c r="F185" s="1">
        <f>IF($F$226="Male",B185,IF($F$226="female",C185,IF($F$226="Sr.citizen&gt;60&lt;80",D185,0)))</f>
        <v>0</v>
      </c>
      <c r="G185" s="487"/>
      <c r="H185" s="1" t="s">
        <v>632</v>
      </c>
      <c r="I185" s="1">
        <f t="shared" ref="I185:K185" si="148">SUM(I183:I184)</f>
        <v>0</v>
      </c>
      <c r="J185" s="1">
        <f t="shared" si="148"/>
        <v>0</v>
      </c>
      <c r="K185" s="1">
        <f t="shared" si="148"/>
        <v>0</v>
      </c>
      <c r="L185" s="1" t="s">
        <v>923</v>
      </c>
      <c r="M185" s="1">
        <f>IF($F$226="Male",I185,IF($F$226="female",J185,IF($F$226="Sr.citizen&gt;60&lt;80",K185,0)))</f>
        <v>0</v>
      </c>
    </row>
    <row r="186" spans="1:13" x14ac:dyDescent="0.25">
      <c r="A186" s="1"/>
      <c r="B186" s="1"/>
      <c r="C186" s="1"/>
      <c r="D186" s="1"/>
      <c r="E186" s="1"/>
      <c r="F186" s="1"/>
      <c r="G186" s="487"/>
      <c r="H186" s="1"/>
      <c r="I186" s="1"/>
      <c r="J186" s="1"/>
      <c r="K186" s="1"/>
      <c r="L186" s="1"/>
      <c r="M186" s="1"/>
    </row>
    <row r="187" spans="1:13" x14ac:dyDescent="0.25">
      <c r="A187" s="1" t="s">
        <v>928</v>
      </c>
      <c r="B187" s="1" t="s">
        <v>907</v>
      </c>
      <c r="C187" s="1"/>
      <c r="D187" s="23">
        <v>0</v>
      </c>
      <c r="E187" s="1"/>
      <c r="F187" s="1"/>
      <c r="G187" s="487"/>
      <c r="H187" s="1" t="s">
        <v>928</v>
      </c>
      <c r="I187" s="1" t="s">
        <v>907</v>
      </c>
      <c r="J187" s="1"/>
      <c r="K187" s="23">
        <v>0</v>
      </c>
      <c r="L187" s="1"/>
      <c r="M187" s="1"/>
    </row>
    <row r="188" spans="1:13" x14ac:dyDescent="0.25">
      <c r="A188" s="1" t="s">
        <v>929</v>
      </c>
      <c r="B188" s="1" t="s">
        <v>855</v>
      </c>
      <c r="C188" s="1" t="s">
        <v>856</v>
      </c>
      <c r="D188" s="1" t="s">
        <v>927</v>
      </c>
      <c r="E188" s="1"/>
      <c r="F188" s="1"/>
      <c r="G188" s="487"/>
      <c r="H188" s="1" t="s">
        <v>929</v>
      </c>
      <c r="I188" s="1" t="s">
        <v>855</v>
      </c>
      <c r="J188" s="1" t="s">
        <v>856</v>
      </c>
      <c r="K188" s="1" t="s">
        <v>927</v>
      </c>
      <c r="L188" s="1"/>
      <c r="M188" s="1"/>
    </row>
    <row r="189" spans="1:13" x14ac:dyDescent="0.25">
      <c r="A189" s="1" t="s">
        <v>910</v>
      </c>
      <c r="B189" s="1">
        <v>160000</v>
      </c>
      <c r="C189" s="1">
        <v>190000</v>
      </c>
      <c r="D189" s="1">
        <v>240000</v>
      </c>
      <c r="E189" s="1"/>
      <c r="F189" s="1"/>
      <c r="G189" s="487"/>
      <c r="H189" s="1" t="s">
        <v>910</v>
      </c>
      <c r="I189" s="1">
        <v>160000</v>
      </c>
      <c r="J189" s="1">
        <v>190000</v>
      </c>
      <c r="K189" s="1">
        <v>240000</v>
      </c>
      <c r="L189" s="1"/>
      <c r="M189" s="1"/>
    </row>
    <row r="190" spans="1:13" x14ac:dyDescent="0.25">
      <c r="A190" s="1" t="s">
        <v>911</v>
      </c>
      <c r="B190" s="1">
        <f>IF(AND($D$240&gt;=160000,($D$240&lt;300000)),($D$240-160000)*0.1)+IF(AND($D$240&gt;=300000,$D$240&lt;500000),(14000+($D$240-300000)*0.2))+IF($D$240&gt;=500000,(54000+($D$240-500000)*0.3))</f>
        <v>0</v>
      </c>
      <c r="C190" s="1">
        <f>IF(AND($D$240&gt;=190000,($D$240&lt;300000)),($D$240-190000)*0.1)+IF(AND($D$240&gt;=300000,$D$240&lt;500000),(11000+($D$240-300000)*0.2))+IF($D$240&gt;=500000,(51000+($D$240-500000)*0.3))</f>
        <v>0</v>
      </c>
      <c r="D190" s="1">
        <f>IF(AND($D$240&gt;=240000,($D$240&lt;300000)),($D$240-240000)*0.1)+IF(AND($D$240&gt;=300000,$D$240&lt;500000),(6000+($D$240-300000)*0.2))+IF($D$240&gt;=500000,(46000+($D$240-500000)*0.3))</f>
        <v>0</v>
      </c>
      <c r="E190" s="1"/>
      <c r="F190" s="1"/>
      <c r="G190" s="487"/>
      <c r="H190" s="1" t="s">
        <v>911</v>
      </c>
      <c r="I190" s="1">
        <f>IF(AND($K$240&gt;=160000,($K$240&lt;300000)),($K$240-160000)*0.1)+IF(AND($K$240&gt;=300000,$K$240&lt;500000),(14000+($K$240-300000)*0.2))+IF($K$240&gt;=500000,(54000+($K$240-500000)*0.3))</f>
        <v>0</v>
      </c>
      <c r="J190" s="1">
        <f>IF(AND($K$240&gt;=190000,($K$240&lt;300000)),($K$240-190000)*0.1)+IF(AND($K$240&gt;=300000,$K$240&lt;500000),(11000+($K$240-300000)*0.2))+IF($K$240&gt;=500000,(51000+($K$240-500000)*0.3))</f>
        <v>0</v>
      </c>
      <c r="K190" s="1">
        <f>IF(AND($K$240&gt;=240000,($K$240&lt;300000)),($K$240-240000)*0.1)+IF(AND($K$240&gt;=300000,$K$240&lt;500000),(6000+($K$240-300000)*0.2))+IF($K$240&gt;=500000,(46000+($K$240-500000)*0.3))</f>
        <v>0</v>
      </c>
      <c r="L190" s="1"/>
      <c r="M190" s="1"/>
    </row>
    <row r="191" spans="1:13" x14ac:dyDescent="0.25">
      <c r="A191" s="1" t="s">
        <v>912</v>
      </c>
      <c r="B191" s="1">
        <f t="shared" ref="B191:D191" si="149">+B190*0.03</f>
        <v>0</v>
      </c>
      <c r="C191" s="1">
        <f t="shared" si="149"/>
        <v>0</v>
      </c>
      <c r="D191" s="1">
        <f t="shared" si="149"/>
        <v>0</v>
      </c>
      <c r="E191" s="1"/>
      <c r="F191" s="1"/>
      <c r="G191" s="487"/>
      <c r="H191" s="1" t="s">
        <v>912</v>
      </c>
      <c r="I191" s="1">
        <f t="shared" ref="I191:K191" si="150">+I190*0.03</f>
        <v>0</v>
      </c>
      <c r="J191" s="1">
        <f t="shared" si="150"/>
        <v>0</v>
      </c>
      <c r="K191" s="1">
        <f t="shared" si="150"/>
        <v>0</v>
      </c>
      <c r="L191" s="1"/>
      <c r="M191" s="1"/>
    </row>
    <row r="192" spans="1:13" x14ac:dyDescent="0.25">
      <c r="A192" s="1" t="s">
        <v>632</v>
      </c>
      <c r="B192" s="1">
        <f t="shared" ref="B192:D192" si="151">SUM(B190:B191)</f>
        <v>0</v>
      </c>
      <c r="C192" s="1">
        <f t="shared" si="151"/>
        <v>0</v>
      </c>
      <c r="D192" s="1">
        <f t="shared" si="151"/>
        <v>0</v>
      </c>
      <c r="E192" s="1" t="s">
        <v>923</v>
      </c>
      <c r="F192" s="1">
        <f>IF($F$226="Male",B192,IF($F$226="female",C192,IF($F$226="Sr.citizen&gt;60&lt;80",D192,0)))</f>
        <v>0</v>
      </c>
      <c r="G192" s="487"/>
      <c r="H192" s="1" t="s">
        <v>632</v>
      </c>
      <c r="I192" s="1">
        <f t="shared" ref="I192:K192" si="152">SUM(I190:I191)</f>
        <v>0</v>
      </c>
      <c r="J192" s="1">
        <f t="shared" si="152"/>
        <v>0</v>
      </c>
      <c r="K192" s="1">
        <f t="shared" si="152"/>
        <v>0</v>
      </c>
      <c r="L192" s="1" t="s">
        <v>923</v>
      </c>
      <c r="M192" s="1">
        <f>IF($F$226="Male",I192,IF($F$226="female",J192,IF($F$226="Sr.citizen&gt;60&lt;80",K192,0)))</f>
        <v>0</v>
      </c>
    </row>
    <row r="193" spans="1:13" x14ac:dyDescent="0.25">
      <c r="A193" s="1"/>
      <c r="B193" s="1"/>
      <c r="C193" s="1"/>
      <c r="D193" s="1"/>
      <c r="E193" s="1"/>
      <c r="F193" s="1"/>
      <c r="G193" s="487"/>
      <c r="H193" s="1"/>
      <c r="I193" s="1"/>
      <c r="J193" s="1"/>
      <c r="K193" s="1"/>
      <c r="L193" s="1"/>
      <c r="M193" s="1"/>
    </row>
    <row r="194" spans="1:13" x14ac:dyDescent="0.25">
      <c r="A194" s="1" t="s">
        <v>930</v>
      </c>
      <c r="B194" s="1" t="s">
        <v>907</v>
      </c>
      <c r="C194" s="1"/>
      <c r="D194" s="1">
        <v>0</v>
      </c>
      <c r="E194" s="1"/>
      <c r="F194" s="1"/>
      <c r="G194" s="487"/>
      <c r="H194" s="1" t="s">
        <v>930</v>
      </c>
      <c r="I194" s="1" t="s">
        <v>907</v>
      </c>
      <c r="J194" s="1"/>
      <c r="K194" s="1">
        <v>0</v>
      </c>
      <c r="L194" s="1"/>
      <c r="M194" s="1"/>
    </row>
    <row r="195" spans="1:13" x14ac:dyDescent="0.25">
      <c r="A195" s="1" t="s">
        <v>931</v>
      </c>
      <c r="B195" s="1" t="s">
        <v>855</v>
      </c>
      <c r="C195" s="1" t="s">
        <v>856</v>
      </c>
      <c r="D195" s="1" t="s">
        <v>927</v>
      </c>
      <c r="E195" s="1"/>
      <c r="F195" s="1"/>
      <c r="G195" s="487"/>
      <c r="H195" s="1" t="s">
        <v>931</v>
      </c>
      <c r="I195" s="1" t="s">
        <v>855</v>
      </c>
      <c r="J195" s="1" t="s">
        <v>856</v>
      </c>
      <c r="K195" s="1" t="s">
        <v>927</v>
      </c>
      <c r="L195" s="1"/>
      <c r="M195" s="1"/>
    </row>
    <row r="196" spans="1:13" x14ac:dyDescent="0.25">
      <c r="A196" s="1" t="s">
        <v>910</v>
      </c>
      <c r="B196" s="1">
        <v>150000</v>
      </c>
      <c r="C196" s="1">
        <v>180000</v>
      </c>
      <c r="D196" s="1">
        <v>225000</v>
      </c>
      <c r="E196" s="1"/>
      <c r="F196" s="1"/>
      <c r="G196" s="487"/>
      <c r="H196" s="1" t="s">
        <v>910</v>
      </c>
      <c r="I196" s="1">
        <v>150000</v>
      </c>
      <c r="J196" s="1">
        <v>180000</v>
      </c>
      <c r="K196" s="1">
        <v>225000</v>
      </c>
      <c r="L196" s="1"/>
      <c r="M196" s="1"/>
    </row>
    <row r="197" spans="1:13" x14ac:dyDescent="0.25">
      <c r="A197" s="1" t="s">
        <v>911</v>
      </c>
      <c r="B197" s="1">
        <f>IF(AND($D$247&gt;=150000,($D$247&lt;300000)),($D$247-150000)*0.1)+IF(AND($D$247&gt;=300000,$D$247&lt;500000),(15000+($D$247-300000)*0.2))+IF($D$247&gt;=500000,(55000+($D$247-500000)*0.3))</f>
        <v>0</v>
      </c>
      <c r="C197" s="1">
        <f>IF(AND($D$247&gt;=180000,($D$247&lt;300000)),($D$247-180000)*0.1)+IF(AND($D$247&gt;=300000,$D$247&lt;500000),(12000+($D$247-300000)*0.2))+IF($D$247&gt;=500000,(52000+($D$247-500000)*0.3))</f>
        <v>0</v>
      </c>
      <c r="D197" s="1">
        <f>IF(AND($D$247&gt;=225000,($D$247&lt;300000)),($D$247-225000)*0.1)+IF(AND($D$247&gt;=300000,$D$247&lt;500000),(7500+($D$247-300000)*0.2))+IF($D$247&gt;=500000,(47500+($D$247-500000)*0.3))</f>
        <v>0</v>
      </c>
      <c r="E197" s="1"/>
      <c r="F197" s="1"/>
      <c r="G197" s="487"/>
      <c r="H197" s="1" t="s">
        <v>911</v>
      </c>
      <c r="I197" s="1">
        <f>IF(AND($K$247&gt;=150000,($K$247&lt;300000)),($K$247-150000)*0.1)+IF(AND($K$247&gt;=300000,$K$247&lt;500000),(15000+($K$247-300000)*0.2))+IF($K$247&gt;=500000,(55000+($K$247-500000)*0.3))</f>
        <v>0</v>
      </c>
      <c r="J197" s="1">
        <f>IF(AND($K$247&gt;=180000,($K$247&lt;300000)),($K$247-180000)*0.1)+IF(AND($K$247&gt;=300000,$K$247&lt;500000),(12000+($K$247-300000)*0.2))+IF($K$247&gt;=500000,(52000+($K$247-500000)*0.3))</f>
        <v>0</v>
      </c>
      <c r="K197" s="1">
        <f>IF(AND($K$247&gt;=225000,($K$247&lt;300000)),($K$247-225000)*0.1)+IF(AND($K$247&gt;=300000,$K$247&lt;500000),(7500+($K$247-300000)*0.2))+IF($K$247&gt;=500000,(47500+($K$247-500000)*0.3))</f>
        <v>0</v>
      </c>
      <c r="L197" s="1"/>
      <c r="M197" s="1"/>
    </row>
    <row r="198" spans="1:13" x14ac:dyDescent="0.25">
      <c r="A198" s="1" t="s">
        <v>932</v>
      </c>
      <c r="B198" s="1">
        <f>IF($D$247&gt;1000000,(MIN(ROUND(B197*0.1,0),(($D$247-1000000-(B197-205000))))),0)</f>
        <v>0</v>
      </c>
      <c r="C198" s="1">
        <f>IF($D$247&gt;1000000,(MIN(ROUND(C197*0.1,0),(($D$247-1000000-(C197-202000))))),0)</f>
        <v>0</v>
      </c>
      <c r="D198" s="1">
        <f>IF($D$247&gt;1000000,(MIN(ROUND(D197*0.1,0),(($D$247-1000000-(D197-197500))))),0)</f>
        <v>0</v>
      </c>
      <c r="E198" s="1"/>
      <c r="F198" s="1"/>
      <c r="G198" s="487"/>
      <c r="H198" s="1" t="s">
        <v>932</v>
      </c>
      <c r="I198" s="1">
        <f>IF($D$247&gt;1000000,(MIN(ROUND(I197*0.1,0),(($D$247-1000000-(I197-205000))))),0)</f>
        <v>0</v>
      </c>
      <c r="J198" s="1">
        <f>IF($D$247&gt;1000000,(MIN(ROUND(J197*0.1,0),(($D$247-1000000-(J197-202000))))),0)</f>
        <v>0</v>
      </c>
      <c r="K198" s="1">
        <f>IF($D$247&gt;1000000,(MIN(ROUND(K197*0.1,0),(($D$247-1000000-(K197-197500))))),0)</f>
        <v>0</v>
      </c>
      <c r="L198" s="1"/>
      <c r="M198" s="1"/>
    </row>
    <row r="199" spans="1:13" x14ac:dyDescent="0.25">
      <c r="A199" s="1" t="s">
        <v>912</v>
      </c>
      <c r="B199" s="1">
        <f t="shared" ref="B199:D199" si="153">+ROUND((B197+B198)*0.03,0)</f>
        <v>0</v>
      </c>
      <c r="C199" s="1">
        <f t="shared" si="153"/>
        <v>0</v>
      </c>
      <c r="D199" s="1">
        <f t="shared" si="153"/>
        <v>0</v>
      </c>
      <c r="E199" s="1"/>
      <c r="F199" s="1"/>
      <c r="G199" s="487"/>
      <c r="H199" s="1" t="s">
        <v>912</v>
      </c>
      <c r="I199" s="1">
        <f t="shared" ref="I199:K199" si="154">+ROUND((I197+I198)*0.03,0)</f>
        <v>0</v>
      </c>
      <c r="J199" s="1">
        <f t="shared" si="154"/>
        <v>0</v>
      </c>
      <c r="K199" s="1">
        <f t="shared" si="154"/>
        <v>0</v>
      </c>
      <c r="L199" s="1"/>
      <c r="M199" s="1"/>
    </row>
    <row r="200" spans="1:13" x14ac:dyDescent="0.25">
      <c r="A200" s="1" t="s">
        <v>632</v>
      </c>
      <c r="B200" s="1">
        <f t="shared" ref="B200:D200" si="155">SUM(B197:B199)</f>
        <v>0</v>
      </c>
      <c r="C200" s="1">
        <f t="shared" si="155"/>
        <v>0</v>
      </c>
      <c r="D200" s="1">
        <f t="shared" si="155"/>
        <v>0</v>
      </c>
      <c r="E200" s="1" t="s">
        <v>923</v>
      </c>
      <c r="F200" s="1">
        <f>IF($F$226="Male",B200,IF($F$226="female",C200,IF($F$226="Sr.citizen&gt;60&lt;80",D200,0)))</f>
        <v>0</v>
      </c>
      <c r="G200" s="487"/>
      <c r="H200" s="1" t="s">
        <v>632</v>
      </c>
      <c r="I200" s="1">
        <f t="shared" ref="I200:K200" si="156">SUM(I197:I199)</f>
        <v>0</v>
      </c>
      <c r="J200" s="1">
        <f t="shared" si="156"/>
        <v>0</v>
      </c>
      <c r="K200" s="1">
        <f t="shared" si="156"/>
        <v>0</v>
      </c>
      <c r="L200" s="1" t="s">
        <v>923</v>
      </c>
      <c r="M200" s="1">
        <f>IF($F$226="Male",I200,IF($F$226="female",J200,IF($F$226="Sr.citizen&gt;60&lt;80",K200,0)))</f>
        <v>0</v>
      </c>
    </row>
    <row r="201" spans="1:13" x14ac:dyDescent="0.25">
      <c r="A201" s="1"/>
      <c r="B201" s="1"/>
      <c r="C201" s="1"/>
      <c r="D201" s="1"/>
      <c r="E201" s="1"/>
      <c r="F201" s="1"/>
      <c r="G201" s="487"/>
      <c r="H201" s="1"/>
      <c r="I201" s="1"/>
      <c r="J201" s="1"/>
      <c r="K201" s="1"/>
      <c r="L201" s="1"/>
      <c r="M201" s="1"/>
    </row>
    <row r="202" spans="1:13" x14ac:dyDescent="0.25">
      <c r="A202" s="1" t="s">
        <v>933</v>
      </c>
      <c r="B202" s="1" t="s">
        <v>907</v>
      </c>
      <c r="C202" s="1"/>
      <c r="D202" s="1">
        <v>0</v>
      </c>
      <c r="E202" s="1"/>
      <c r="F202" s="1"/>
      <c r="G202" s="487"/>
      <c r="H202" s="1" t="s">
        <v>933</v>
      </c>
      <c r="I202" s="1" t="s">
        <v>907</v>
      </c>
      <c r="J202" s="1"/>
      <c r="K202" s="1">
        <v>0</v>
      </c>
      <c r="L202" s="1"/>
      <c r="M202" s="1"/>
    </row>
    <row r="203" spans="1:13" x14ac:dyDescent="0.25">
      <c r="A203" s="1" t="s">
        <v>934</v>
      </c>
      <c r="B203" s="1" t="s">
        <v>855</v>
      </c>
      <c r="C203" s="1" t="s">
        <v>856</v>
      </c>
      <c r="D203" s="1" t="s">
        <v>927</v>
      </c>
      <c r="E203" s="1"/>
      <c r="F203" s="1"/>
      <c r="G203" s="487"/>
      <c r="H203" s="1" t="s">
        <v>934</v>
      </c>
      <c r="I203" s="1" t="s">
        <v>855</v>
      </c>
      <c r="J203" s="1" t="s">
        <v>856</v>
      </c>
      <c r="K203" s="1" t="s">
        <v>927</v>
      </c>
      <c r="L203" s="1"/>
      <c r="M203" s="1"/>
    </row>
    <row r="204" spans="1:13" x14ac:dyDescent="0.25">
      <c r="A204" s="1" t="s">
        <v>910</v>
      </c>
      <c r="B204" s="1">
        <v>110000</v>
      </c>
      <c r="C204" s="1">
        <v>145000</v>
      </c>
      <c r="D204" s="1">
        <v>195000</v>
      </c>
      <c r="E204" s="1"/>
      <c r="F204" s="1"/>
      <c r="G204" s="487"/>
      <c r="H204" s="1" t="s">
        <v>910</v>
      </c>
      <c r="I204" s="1">
        <v>110000</v>
      </c>
      <c r="J204" s="1">
        <v>145000</v>
      </c>
      <c r="K204" s="1">
        <v>195000</v>
      </c>
      <c r="L204" s="1"/>
      <c r="M204" s="1"/>
    </row>
    <row r="205" spans="1:13" x14ac:dyDescent="0.25">
      <c r="A205" s="1" t="s">
        <v>911</v>
      </c>
      <c r="B205" s="1">
        <f>IF(AND($D$255&gt;=110000,($D$255&lt;150000)),($D$255-110000)*0.1)+IF(AND($D$255&gt;=150000,$D$255&lt;250000),(4000+($D$255-150000)*0.2))+IF($D$255&gt;=250000,(24000+($D$255-250000)*0.3))</f>
        <v>0</v>
      </c>
      <c r="C205" s="1">
        <f>IF(AND($D$255&gt;=145000,($D$255&lt;150000)),($D$255-145000)*0.1)+IF(AND($D$255&gt;=150000,$D$255&lt;250000),(500+($D$255-150000)*0.2))+IF($D$255&gt;=250000,(20500+($D$255-250000)*0.3))</f>
        <v>0</v>
      </c>
      <c r="D205" s="1">
        <f>IF(AND($D$255&gt;=195000,($D$255&lt;250000)),($D$255-195000)*0.2)+IF($D$255&gt;=250000,(11000+($D$255-250000)*0.3))</f>
        <v>0</v>
      </c>
      <c r="E205" s="1"/>
      <c r="F205" s="1"/>
      <c r="G205" s="487"/>
      <c r="H205" s="1" t="s">
        <v>911</v>
      </c>
      <c r="I205" s="1">
        <f>IF(AND($K$255&gt;=110000,($K$255&lt;150000)),($K$255-110000)*0.1)+IF(AND($K$255&gt;=150000,$K$255&lt;250000),(4000+($K$255-150000)*0.2))+IF($K$255&gt;=250000,(24000+($K$255-250000)*0.3))</f>
        <v>0</v>
      </c>
      <c r="J205" s="1">
        <f>IF(AND($K$255&gt;=145000,($K$255&lt;150000)),($K$255-145000)*0.1)+IF(AND($K$255&gt;=150000,$K$255&lt;250000),(500+($K$255-150000)*0.2))+IF($K$255&gt;=250000,(20500+($K$255-250000)*0.3))</f>
        <v>0</v>
      </c>
      <c r="K205" s="1">
        <f>IF(AND($K$255&gt;=195000,($K$255&lt;250000)),($K$255-195000)*0.2)+IF($K$255&gt;=250000,(11000+($K$255-250000)*0.3))</f>
        <v>0</v>
      </c>
      <c r="L205" s="1"/>
      <c r="M205" s="1"/>
    </row>
    <row r="206" spans="1:13" x14ac:dyDescent="0.25">
      <c r="A206" s="1" t="s">
        <v>932</v>
      </c>
      <c r="B206" s="1">
        <f>IF($D$255&gt;1000000,(MIN(ROUND(B205*0.1,0),(($D$255-1000000-(B205-249000))))),0)</f>
        <v>0</v>
      </c>
      <c r="C206" s="1">
        <f>IF($D$255&gt;1000000,(MIN(ROUND(C205*0.1,0),(($D$255-1000000-(C205-245500))))),0)</f>
        <v>0</v>
      </c>
      <c r="D206" s="1">
        <f>IF($D$255&gt;1000000,(MIN(ROUND(D205*0.1,0),(($D$255-1000000-(D205-236000))))),0)</f>
        <v>0</v>
      </c>
      <c r="E206" s="1"/>
      <c r="F206" s="1"/>
      <c r="G206" s="487"/>
      <c r="H206" s="1" t="s">
        <v>932</v>
      </c>
      <c r="I206" s="1">
        <f>IF($D$255&gt;1000000,(MIN(ROUND(I205*0.1,0),(($D$255-1000000-(I205-249000))))),0)</f>
        <v>0</v>
      </c>
      <c r="J206" s="1">
        <f>IF($D$255&gt;1000000,(MIN(ROUND(J205*0.1,0),(($D$255-1000000-(J205-245500))))),0)</f>
        <v>0</v>
      </c>
      <c r="K206" s="1">
        <f>IF($D$255&gt;1000000,(MIN(ROUND(K205*0.1,0),(($D$255-1000000-(K205-236000))))),0)</f>
        <v>0</v>
      </c>
      <c r="L206" s="1"/>
      <c r="M206" s="1"/>
    </row>
    <row r="207" spans="1:13" x14ac:dyDescent="0.25">
      <c r="A207" s="1" t="s">
        <v>912</v>
      </c>
      <c r="B207" s="1">
        <f t="shared" ref="B207:D207" si="157">+ROUND((B205+B206)*0.03,0)</f>
        <v>0</v>
      </c>
      <c r="C207" s="1">
        <f t="shared" si="157"/>
        <v>0</v>
      </c>
      <c r="D207" s="1">
        <f t="shared" si="157"/>
        <v>0</v>
      </c>
      <c r="E207" s="1"/>
      <c r="F207" s="1"/>
      <c r="G207" s="487"/>
      <c r="H207" s="1" t="s">
        <v>912</v>
      </c>
      <c r="I207" s="1">
        <f t="shared" ref="I207:K207" si="158">+ROUND((I205+I206)*0.03,0)</f>
        <v>0</v>
      </c>
      <c r="J207" s="1">
        <f t="shared" si="158"/>
        <v>0</v>
      </c>
      <c r="K207" s="1">
        <f t="shared" si="158"/>
        <v>0</v>
      </c>
      <c r="L207" s="1"/>
      <c r="M207" s="1"/>
    </row>
    <row r="208" spans="1:13" x14ac:dyDescent="0.25">
      <c r="A208" s="1" t="s">
        <v>632</v>
      </c>
      <c r="B208" s="1">
        <f t="shared" ref="B208:D208" si="159">SUM(B205:B207)</f>
        <v>0</v>
      </c>
      <c r="C208" s="1">
        <f t="shared" si="159"/>
        <v>0</v>
      </c>
      <c r="D208" s="1">
        <f t="shared" si="159"/>
        <v>0</v>
      </c>
      <c r="E208" s="1" t="s">
        <v>923</v>
      </c>
      <c r="F208" s="1">
        <f>IF($F$226="Male",B208,IF($F$226="female",C208,IF($F$226="Sr.citizen&gt;60&lt;80",D208,0)))</f>
        <v>0</v>
      </c>
      <c r="G208" s="487"/>
      <c r="H208" s="1" t="s">
        <v>632</v>
      </c>
      <c r="I208" s="1">
        <f t="shared" ref="I208:K208" si="160">SUM(I205:I207)</f>
        <v>0</v>
      </c>
      <c r="J208" s="1">
        <f t="shared" si="160"/>
        <v>0</v>
      </c>
      <c r="K208" s="1">
        <f t="shared" si="160"/>
        <v>0</v>
      </c>
      <c r="L208" s="1" t="s">
        <v>923</v>
      </c>
      <c r="M208" s="1">
        <f>IF($F$226="Male",I208,IF($F$226="female",J208,IF($F$226="Sr.citizen&gt;60&lt;80",K208,0)))</f>
        <v>0</v>
      </c>
    </row>
    <row r="209" spans="1:13" x14ac:dyDescent="0.25">
      <c r="A209" s="1"/>
      <c r="B209" s="1"/>
      <c r="C209" s="1"/>
      <c r="D209" s="1"/>
      <c r="E209" s="1"/>
      <c r="F209" s="1"/>
      <c r="G209" s="487"/>
      <c r="H209" s="1"/>
      <c r="I209" s="1"/>
      <c r="J209" s="1"/>
      <c r="K209" s="1"/>
      <c r="L209" s="1"/>
      <c r="M209" s="1"/>
    </row>
    <row r="210" spans="1:13" x14ac:dyDescent="0.25">
      <c r="A210" s="1" t="s">
        <v>935</v>
      </c>
      <c r="B210" s="1" t="s">
        <v>925</v>
      </c>
      <c r="C210" s="1"/>
      <c r="D210" s="1">
        <v>0</v>
      </c>
      <c r="E210" s="1"/>
      <c r="F210" s="1"/>
      <c r="G210" s="487"/>
      <c r="H210" s="1" t="s">
        <v>935</v>
      </c>
      <c r="I210" s="1" t="s">
        <v>925</v>
      </c>
      <c r="J210" s="1"/>
      <c r="K210" s="1">
        <v>0</v>
      </c>
      <c r="L210" s="1"/>
      <c r="M210" s="1"/>
    </row>
    <row r="211" spans="1:13" x14ac:dyDescent="0.25">
      <c r="A211" s="1" t="s">
        <v>936</v>
      </c>
      <c r="B211" s="1" t="s">
        <v>855</v>
      </c>
      <c r="C211" s="1" t="s">
        <v>856</v>
      </c>
      <c r="D211" s="1" t="s">
        <v>927</v>
      </c>
      <c r="E211" s="1"/>
      <c r="F211" s="1"/>
      <c r="G211" s="487"/>
      <c r="H211" s="1" t="s">
        <v>936</v>
      </c>
      <c r="I211" s="1" t="s">
        <v>855</v>
      </c>
      <c r="J211" s="1" t="s">
        <v>856</v>
      </c>
      <c r="K211" s="1" t="s">
        <v>927</v>
      </c>
      <c r="L211" s="1"/>
      <c r="M211" s="1"/>
    </row>
    <row r="212" spans="1:13" x14ac:dyDescent="0.25">
      <c r="A212" s="1" t="s">
        <v>910</v>
      </c>
      <c r="B212" s="1">
        <v>100000</v>
      </c>
      <c r="C212" s="1">
        <v>135000</v>
      </c>
      <c r="D212" s="1">
        <v>185000</v>
      </c>
      <c r="E212" s="1"/>
      <c r="F212" s="1"/>
      <c r="G212" s="487"/>
      <c r="H212" s="1" t="s">
        <v>910</v>
      </c>
      <c r="I212" s="1">
        <v>100000</v>
      </c>
      <c r="J212" s="1">
        <v>135000</v>
      </c>
      <c r="K212" s="1">
        <v>185000</v>
      </c>
      <c r="L212" s="1"/>
      <c r="M212" s="1"/>
    </row>
    <row r="213" spans="1:13" x14ac:dyDescent="0.25">
      <c r="A213" s="1" t="s">
        <v>911</v>
      </c>
      <c r="B213" s="1">
        <f>IF(AND($D$263&gt;=100000,($D$263&lt;150000)),($D$263-100000)*0.1)+IF(AND($D$263&gt;=150000,$D$263&lt;250000),(5000+($D$263-150000)*0.2))+IF($D$263&gt;=250000,(25000+($D$263-250000)*0.3))</f>
        <v>0</v>
      </c>
      <c r="C213" s="1">
        <f>IF(AND($D$263&gt;=135000,($D$263&lt;150000)),($D$263-135000)*0.1)+IF(AND($D$263&gt;=150000,$D$263&lt;250000),(1500+($D$263-150000)*0.2))+IF($D$263&gt;=250000,(21500+($D$263-250000)*0.3))</f>
        <v>0</v>
      </c>
      <c r="D213" s="1">
        <f>IF(AND($D$263&gt;=185000,($D$263&lt;250000)),($D$263-185000)*0.2)+IF($D$263&gt;=250000,(13000+($D$263-250000)*0.3))</f>
        <v>0</v>
      </c>
      <c r="E213" s="1"/>
      <c r="F213" s="1"/>
      <c r="G213" s="487"/>
      <c r="H213" s="1" t="s">
        <v>911</v>
      </c>
      <c r="I213" s="1">
        <f>IF(AND($K$263&gt;=100000,($K$263&lt;150000)),($K$263-100000)*0.1)+IF(AND($K$263&gt;=150000,$K$263&lt;250000),(5000+($K$263-150000)*0.2))+IF($K$263&gt;=250000,(25000+($K$263-250000)*0.3))</f>
        <v>0</v>
      </c>
      <c r="J213" s="1">
        <f>IF(AND($K$263&gt;=135000,($K$263&lt;150000)),($K$263-135000)*0.1)+IF(AND($K$263&gt;=150000,$K$263&lt;250000),(1500+($K$263-150000)*0.2))+IF($K$263&gt;=250000,(21500+($K$263-250000)*0.3))</f>
        <v>0</v>
      </c>
      <c r="K213" s="1">
        <f>IF(AND($K$263&gt;=185000,($K$263&lt;250000)),($K$263-185000)*0.2)+IF($K$263&gt;=250000,(13000+($K$263-250000)*0.3))</f>
        <v>0</v>
      </c>
      <c r="L213" s="1"/>
      <c r="M213" s="1"/>
    </row>
    <row r="214" spans="1:13" x14ac:dyDescent="0.25">
      <c r="A214" s="1" t="s">
        <v>932</v>
      </c>
      <c r="B214" s="1">
        <f>IF($D$247&gt;1000000,(MIN(ROUND(B213*0.1,0),(($D$247-1000000-(B213-250000))))),0)</f>
        <v>0</v>
      </c>
      <c r="C214" s="1">
        <f>IF($D$247&gt;1000000,(MIN(ROUND(C213*0.1,0),(($D$247-1000000-(C213-246500))))),0)</f>
        <v>0</v>
      </c>
      <c r="D214" s="1">
        <f>IF($D$247&gt;1000000,(MIN(ROUND(D213*0.1,0),(($D$247-1000000-(D213-238000))))),0)</f>
        <v>0</v>
      </c>
      <c r="E214" s="1"/>
      <c r="F214" s="1"/>
      <c r="G214" s="487"/>
      <c r="H214" s="1" t="s">
        <v>932</v>
      </c>
      <c r="I214" s="1">
        <f>IF($D$247&gt;1000000,(MIN(ROUND(I213*0.1,0),(($D$247-1000000-(I213-250000))))),0)</f>
        <v>0</v>
      </c>
      <c r="J214" s="1">
        <f>IF($D$247&gt;1000000,(MIN(ROUND(J213*0.1,0),(($D$247-1000000-(J213-246500))))),0)</f>
        <v>0</v>
      </c>
      <c r="K214" s="1">
        <f>IF($D$247&gt;1000000,(MIN(ROUND(K213*0.1,0),(($D$247-1000000-(K213-238000))))),0)</f>
        <v>0</v>
      </c>
      <c r="L214" s="1"/>
      <c r="M214" s="1"/>
    </row>
    <row r="215" spans="1:13" x14ac:dyDescent="0.25">
      <c r="A215" s="1" t="s">
        <v>937</v>
      </c>
      <c r="B215" s="1">
        <f t="shared" ref="B215:D215" si="161">+ROUND((B213+B214)*0.02,0)</f>
        <v>0</v>
      </c>
      <c r="C215" s="1">
        <f t="shared" si="161"/>
        <v>0</v>
      </c>
      <c r="D215" s="1">
        <f t="shared" si="161"/>
        <v>0</v>
      </c>
      <c r="E215" s="1"/>
      <c r="F215" s="1"/>
      <c r="G215" s="487"/>
      <c r="H215" s="1" t="s">
        <v>937</v>
      </c>
      <c r="I215" s="1">
        <f t="shared" ref="I215:K215" si="162">+ROUND((I213+I214)*0.02,0)</f>
        <v>0</v>
      </c>
      <c r="J215" s="1">
        <f t="shared" si="162"/>
        <v>0</v>
      </c>
      <c r="K215" s="1">
        <f t="shared" si="162"/>
        <v>0</v>
      </c>
      <c r="L215" s="1"/>
      <c r="M215" s="1"/>
    </row>
    <row r="216" spans="1:13" x14ac:dyDescent="0.25">
      <c r="A216" s="1" t="s">
        <v>632</v>
      </c>
      <c r="B216" s="1">
        <f t="shared" ref="B216:D216" si="163">SUM(B213:B215)</f>
        <v>0</v>
      </c>
      <c r="C216" s="1">
        <f t="shared" si="163"/>
        <v>0</v>
      </c>
      <c r="D216" s="1">
        <f t="shared" si="163"/>
        <v>0</v>
      </c>
      <c r="E216" s="1" t="s">
        <v>923</v>
      </c>
      <c r="F216" s="1">
        <f>IF($F$226="Male",B216,IF($F$226="female",C216,IF($F$226="Sr.citizen&gt;60&lt;80",D216,0)))</f>
        <v>0</v>
      </c>
      <c r="G216" s="487"/>
      <c r="H216" s="1" t="s">
        <v>632</v>
      </c>
      <c r="I216" s="1">
        <f t="shared" ref="I216:K216" si="164">SUM(I213:I215)</f>
        <v>0</v>
      </c>
      <c r="J216" s="1">
        <f t="shared" si="164"/>
        <v>0</v>
      </c>
      <c r="K216" s="1">
        <f t="shared" si="164"/>
        <v>0</v>
      </c>
      <c r="L216" s="1" t="s">
        <v>923</v>
      </c>
      <c r="M216" s="1">
        <f>IF($F$226="Male",I216,IF($F$226="female",J216,IF($F$226="Sr.citizen&gt;60&lt;80",K216,0)))</f>
        <v>0</v>
      </c>
    </row>
    <row r="217" spans="1:13" x14ac:dyDescent="0.25">
      <c r="A217" s="1"/>
      <c r="B217" s="1"/>
      <c r="C217" s="1"/>
      <c r="D217" s="1"/>
      <c r="E217" s="1"/>
      <c r="F217" s="1"/>
      <c r="G217" s="487"/>
      <c r="H217" s="1"/>
      <c r="I217" s="1"/>
      <c r="J217" s="1"/>
      <c r="K217" s="1"/>
      <c r="L217" s="1"/>
      <c r="M217" s="1"/>
    </row>
    <row r="218" spans="1:13" x14ac:dyDescent="0.25">
      <c r="A218" s="1" t="s">
        <v>938</v>
      </c>
      <c r="B218" s="1" t="s">
        <v>925</v>
      </c>
      <c r="C218" s="1"/>
      <c r="D218" s="1">
        <v>0</v>
      </c>
      <c r="E218" s="1"/>
      <c r="F218" s="1"/>
      <c r="G218" s="487"/>
      <c r="H218" s="1" t="s">
        <v>938</v>
      </c>
      <c r="I218" s="1" t="s">
        <v>925</v>
      </c>
      <c r="J218" s="1"/>
      <c r="K218" s="1">
        <v>0</v>
      </c>
      <c r="L218" s="1"/>
      <c r="M218" s="1"/>
    </row>
    <row r="219" spans="1:13" x14ac:dyDescent="0.25">
      <c r="A219" s="1" t="s">
        <v>939</v>
      </c>
      <c r="B219" s="1" t="s">
        <v>855</v>
      </c>
      <c r="C219" s="1" t="s">
        <v>856</v>
      </c>
      <c r="D219" s="1" t="s">
        <v>927</v>
      </c>
      <c r="E219" s="1"/>
      <c r="F219" s="1"/>
      <c r="G219" s="487"/>
      <c r="H219" s="1" t="s">
        <v>939</v>
      </c>
      <c r="I219" s="1" t="s">
        <v>855</v>
      </c>
      <c r="J219" s="1" t="s">
        <v>856</v>
      </c>
      <c r="K219" s="1" t="s">
        <v>927</v>
      </c>
      <c r="L219" s="1"/>
      <c r="M219" s="1"/>
    </row>
    <row r="220" spans="1:13" x14ac:dyDescent="0.25">
      <c r="A220" s="1" t="s">
        <v>910</v>
      </c>
      <c r="B220" s="1">
        <v>100000</v>
      </c>
      <c r="C220" s="1">
        <v>135000</v>
      </c>
      <c r="D220" s="1">
        <v>185000</v>
      </c>
      <c r="E220" s="1"/>
      <c r="F220" s="1"/>
      <c r="G220" s="487"/>
      <c r="H220" s="1" t="s">
        <v>910</v>
      </c>
      <c r="I220" s="1">
        <v>100000</v>
      </c>
      <c r="J220" s="1">
        <v>135000</v>
      </c>
      <c r="K220" s="1">
        <v>185000</v>
      </c>
      <c r="L220" s="1"/>
      <c r="M220" s="1"/>
    </row>
    <row r="221" spans="1:13" x14ac:dyDescent="0.25">
      <c r="A221" s="1" t="s">
        <v>911</v>
      </c>
      <c r="B221" s="1">
        <f>IF(AND(D218&gt;=100000,(D218&lt;150000)),(D218-100000)*0.1)+IF(AND(D218&gt;=150000,D218&lt;250000),(5000+(D218-150000)*0.2))+IF(D218&gt;=250000,(25000+(D218-250000)*0.3))</f>
        <v>0</v>
      </c>
      <c r="C221" s="1">
        <f>IF(AND(D218&gt;=135000,(D218&lt;150000)),(D218-135000)*0.1)+IF(AND(D218&gt;=150000,D218&lt;250000),(1500+(D218-150000)*0.2))+IF(D830&gt;=250000,(21500+(D218-250000)*0.3))</f>
        <v>0</v>
      </c>
      <c r="D221" s="1">
        <f>IF(AND(D218&gt;=185000,(D218&lt;250000)),(D218-185000)*0.2)+IF(D218&gt;=250000,(13000+(D218-250000)*0.3))</f>
        <v>0</v>
      </c>
      <c r="E221" s="1"/>
      <c r="F221" s="1"/>
      <c r="G221" s="487"/>
      <c r="H221" s="1" t="s">
        <v>911</v>
      </c>
      <c r="I221" s="1">
        <f>IF(AND(K218&gt;=100000,(K218&lt;150000)),(K218-100000)*0.1)+IF(AND(K218&gt;=150000,K218&lt;250000),(5000+(K218-150000)*0.2))+IF(K218&gt;=250000,(25000+(K218-250000)*0.3))</f>
        <v>0</v>
      </c>
      <c r="J221" s="1">
        <f>IF(AND(K218&gt;=135000,(K218&lt;150000)),(K218-135000)*0.1)+IF(AND(K218&gt;=150000,K218&lt;250000),(1500+(K218-150000)*0.2))+IF(K830&gt;=250000,(21500+(K218-250000)*0.3))</f>
        <v>0</v>
      </c>
      <c r="K221" s="1">
        <f>IF(AND(K218&gt;=185000,(K218&lt;250000)),(K218-185000)*0.2)+IF(K218&gt;=250000,(13000+(K218-250000)*0.3))</f>
        <v>0</v>
      </c>
      <c r="L221" s="1"/>
      <c r="M221" s="1"/>
    </row>
    <row r="222" spans="1:13" x14ac:dyDescent="0.25">
      <c r="A222" s="1" t="s">
        <v>932</v>
      </c>
      <c r="B222" s="1">
        <f>IF(D218&gt;1000000,(MIN(ROUND(B221*0.1,0),((D218-1000000-(B221-250000))))),0)</f>
        <v>0</v>
      </c>
      <c r="C222" s="1">
        <f>IF($D$247&gt;1000000,(MIN(ROUND(C221*0.1,0),(($D$247-1000000-(C221-246500))))),0)</f>
        <v>0</v>
      </c>
      <c r="D222" s="1">
        <f>IF($D$247&gt;1000000,(MIN(ROUND(D221*0.1,0),(($D$247-1000000-(D221-238000))))),0)</f>
        <v>0</v>
      </c>
      <c r="E222" s="1"/>
      <c r="F222" s="1"/>
      <c r="G222" s="487"/>
      <c r="H222" s="1" t="s">
        <v>932</v>
      </c>
      <c r="I222" s="1">
        <f>IF(K218&gt;1000000,(MIN(ROUND(I221*0.1,0),((K218-1000000-(I221-250000))))),0)</f>
        <v>0</v>
      </c>
      <c r="J222" s="1">
        <f>IF($D$247&gt;1000000,(MIN(ROUND(J221*0.1,0),(($D$247-1000000-(J221-246500))))),0)</f>
        <v>0</v>
      </c>
      <c r="K222" s="1">
        <f>IF($D$247&gt;1000000,(MIN(ROUND(K221*0.1,0),(($D$247-1000000-(K221-238000))))),0)</f>
        <v>0</v>
      </c>
      <c r="L222" s="1"/>
      <c r="M222" s="1"/>
    </row>
    <row r="223" spans="1:13" x14ac:dyDescent="0.25">
      <c r="A223" s="1" t="s">
        <v>937</v>
      </c>
      <c r="B223" s="1">
        <f t="shared" ref="B223:D223" si="165">+ROUND((B221+B222)*0.02,0)</f>
        <v>0</v>
      </c>
      <c r="C223" s="1">
        <f t="shared" si="165"/>
        <v>0</v>
      </c>
      <c r="D223" s="1">
        <f t="shared" si="165"/>
        <v>0</v>
      </c>
      <c r="E223" s="1"/>
      <c r="F223" s="1"/>
      <c r="G223" s="487"/>
      <c r="H223" s="1" t="s">
        <v>937</v>
      </c>
      <c r="I223" s="1">
        <f t="shared" ref="I223:K223" si="166">+ROUND((I221+I222)*0.02,0)</f>
        <v>0</v>
      </c>
      <c r="J223" s="1">
        <f t="shared" si="166"/>
        <v>0</v>
      </c>
      <c r="K223" s="1">
        <f t="shared" si="166"/>
        <v>0</v>
      </c>
      <c r="L223" s="1"/>
      <c r="M223" s="1"/>
    </row>
    <row r="224" spans="1:13" x14ac:dyDescent="0.25">
      <c r="A224" s="1" t="s">
        <v>632</v>
      </c>
      <c r="B224" s="1">
        <f t="shared" ref="B224:D224" si="167">SUM(B221:B223)</f>
        <v>0</v>
      </c>
      <c r="C224" s="1">
        <f t="shared" si="167"/>
        <v>0</v>
      </c>
      <c r="D224" s="1">
        <f t="shared" si="167"/>
        <v>0</v>
      </c>
      <c r="E224" s="1" t="s">
        <v>923</v>
      </c>
      <c r="F224" s="1">
        <f>IF($F$226="Male",B224,IF($F$226="female",C224,IF($F$226="Sr.citizen&gt;60&lt;80",D224,0)))</f>
        <v>0</v>
      </c>
      <c r="G224" s="487"/>
      <c r="H224" s="1" t="s">
        <v>632</v>
      </c>
      <c r="I224" s="1">
        <f t="shared" ref="I224:K224" si="168">SUM(I221:I223)</f>
        <v>0</v>
      </c>
      <c r="J224" s="1">
        <f t="shared" si="168"/>
        <v>0</v>
      </c>
      <c r="K224" s="1">
        <f t="shared" si="168"/>
        <v>0</v>
      </c>
      <c r="L224" s="1" t="s">
        <v>923</v>
      </c>
      <c r="M224" s="1">
        <f>IF($F$226="Male",I224,IF($F$226="female",J224,IF($F$226="Sr.citizen&gt;60&lt;80",K224,0)))</f>
        <v>0</v>
      </c>
    </row>
    <row r="225" spans="1:13" x14ac:dyDescent="0.25">
      <c r="A225" s="1"/>
      <c r="B225" s="1"/>
      <c r="C225" s="1"/>
      <c r="D225" s="1"/>
      <c r="E225" s="1"/>
      <c r="F225" s="1"/>
      <c r="G225" s="487"/>
      <c r="H225" s="1"/>
      <c r="I225" s="1"/>
      <c r="J225" s="1"/>
      <c r="K225" s="1"/>
      <c r="L225" s="1"/>
      <c r="M225" s="1"/>
    </row>
    <row r="226" spans="1:13" x14ac:dyDescent="0.25">
      <c r="A226" s="1" t="s">
        <v>940</v>
      </c>
      <c r="B226" s="1" t="s">
        <v>907</v>
      </c>
      <c r="C226" s="1"/>
      <c r="D226" s="1">
        <v>0</v>
      </c>
      <c r="E226" s="1"/>
      <c r="F226" s="1"/>
      <c r="G226" s="487"/>
      <c r="H226" s="1" t="s">
        <v>940</v>
      </c>
      <c r="I226" s="1" t="s">
        <v>907</v>
      </c>
      <c r="J226" s="1"/>
      <c r="K226" s="1">
        <v>0</v>
      </c>
      <c r="L226" s="1"/>
      <c r="M226" s="1"/>
    </row>
    <row r="227" spans="1:13" x14ac:dyDescent="0.25">
      <c r="A227" s="1" t="s">
        <v>941</v>
      </c>
      <c r="B227" s="1" t="s">
        <v>855</v>
      </c>
      <c r="C227" s="1" t="s">
        <v>856</v>
      </c>
      <c r="D227" s="1" t="s">
        <v>927</v>
      </c>
      <c r="E227" s="1"/>
      <c r="F227" s="1"/>
      <c r="G227" s="487"/>
      <c r="H227" s="1" t="s">
        <v>941</v>
      </c>
      <c r="I227" s="1" t="s">
        <v>855</v>
      </c>
      <c r="J227" s="1" t="s">
        <v>856</v>
      </c>
      <c r="K227" s="1" t="s">
        <v>927</v>
      </c>
      <c r="L227" s="1"/>
      <c r="M227" s="1"/>
    </row>
    <row r="228" spans="1:13" x14ac:dyDescent="0.25">
      <c r="A228" s="1" t="s">
        <v>910</v>
      </c>
      <c r="B228" s="1">
        <v>50000</v>
      </c>
      <c r="C228" s="1">
        <v>50000</v>
      </c>
      <c r="D228" s="1">
        <v>50000</v>
      </c>
      <c r="E228" s="1"/>
      <c r="F228" s="1"/>
      <c r="G228" s="487"/>
      <c r="H228" s="1" t="s">
        <v>910</v>
      </c>
      <c r="I228" s="1">
        <v>50000</v>
      </c>
      <c r="J228" s="1">
        <v>50000</v>
      </c>
      <c r="K228" s="1">
        <v>50000</v>
      </c>
      <c r="L228" s="1"/>
      <c r="M228" s="1"/>
    </row>
    <row r="229" spans="1:13" x14ac:dyDescent="0.25">
      <c r="A229" s="1" t="s">
        <v>911</v>
      </c>
      <c r="B229" s="1">
        <f>IF(AND(D226&gt;=50000,(D226&lt;60000)),(D226-50000)*0.1)+IF(AND(D226&gt;=60000,D226&lt;150000),(1000+(D226-60000)*0.2))+IF(D226&gt;=150000,(19000+(D226-150000)*0.3))</f>
        <v>0</v>
      </c>
      <c r="C229" s="1">
        <f>IF(AND(D226&gt;=50000,(D226&lt;60000)),(D226-50000)*0.1)+IF(AND(D226&gt;=60000,D226&lt;150000),(1000+(D226-60000)*0.2))+IF(D226&gt;=150000,(19000+(D226-150000)*0.3))</f>
        <v>0</v>
      </c>
      <c r="D229" s="1">
        <f>IF(AND(D226&gt;=50000,(D226&lt;60000)),(D226-50000)*0.1)+IF(AND(D226&gt;=60000,D226&lt;150000),(1000+(D226-60000)*0.2))+IF(D226&gt;=150000,(19000+(D226-150000)*0.3))</f>
        <v>0</v>
      </c>
      <c r="E229" s="1"/>
      <c r="F229" s="1"/>
      <c r="G229" s="487"/>
      <c r="H229" s="1" t="s">
        <v>911</v>
      </c>
      <c r="I229" s="1">
        <f>IF(AND(K226&gt;=50000,(K226&lt;60000)),(K226-50000)*0.1)+IF(AND(K226&gt;=60000,K226&lt;150000),(1000+(K226-60000)*0.2))+IF(K226&gt;=150000,(19000+(K226-150000)*0.3))</f>
        <v>0</v>
      </c>
      <c r="J229" s="1">
        <f>IF(AND(K226&gt;=50000,(K226&lt;60000)),(K226-50000)*0.1)+IF(AND(K226&gt;=60000,K226&lt;150000),(1000+(K226-60000)*0.2))+IF(K226&gt;=150000,(19000+(K226-150000)*0.3))</f>
        <v>0</v>
      </c>
      <c r="K229" s="1">
        <f>IF(AND(K226&gt;=50000,(K226&lt;60000)),(K226-50000)*0.1)+IF(AND(K226&gt;=60000,K226&lt;150000),(1000+(K226-60000)*0.2))+IF(K226&gt;=150000,(19000+(K226-150000)*0.3))</f>
        <v>0</v>
      </c>
      <c r="L229" s="1"/>
      <c r="M229" s="1"/>
    </row>
    <row r="230" spans="1:13" x14ac:dyDescent="0.25">
      <c r="A230" s="1" t="s">
        <v>932</v>
      </c>
      <c r="B230" s="1">
        <f>IF(D226&gt;850000,(MIN(ROUND(B229*0.1,0),((D226-1000000-(B229-250000))))),0)</f>
        <v>0</v>
      </c>
      <c r="C230" s="1">
        <f>IF(D226&gt;850000,(MIN(ROUND(C229*0.1,0),((D226-1000000-(C229-250000))))),0)</f>
        <v>0</v>
      </c>
      <c r="D230" s="1">
        <f>IF(D226&gt;850000,(MIN(ROUND(D229*0.1,0),((D226-1000000-(D229-250000))))),0)</f>
        <v>0</v>
      </c>
      <c r="E230" s="1"/>
      <c r="F230" s="1"/>
      <c r="G230" s="487"/>
      <c r="H230" s="1" t="s">
        <v>932</v>
      </c>
      <c r="I230" s="1">
        <f>IF(K226&gt;850000,(MIN(ROUND(I229*0.1,0),((K226-1000000-(I229-250000))))),0)</f>
        <v>0</v>
      </c>
      <c r="J230" s="1">
        <f>IF(K226&gt;850000,(MIN(ROUND(J229*0.1,0),((K226-1000000-(J229-250000))))),0)</f>
        <v>0</v>
      </c>
      <c r="K230" s="1">
        <f>IF(K226&gt;850000,(MIN(ROUND(K229*0.1,0),((K226-1000000-(K229-250000))))),0)</f>
        <v>0</v>
      </c>
      <c r="L230" s="1"/>
      <c r="M230" s="1"/>
    </row>
    <row r="231" spans="1:13" x14ac:dyDescent="0.25">
      <c r="A231" s="1" t="s">
        <v>937</v>
      </c>
      <c r="B231" s="1">
        <f t="shared" ref="B231:D231" si="169">+ROUND((B229+B230)*0.02,0)</f>
        <v>0</v>
      </c>
      <c r="C231" s="1">
        <f t="shared" si="169"/>
        <v>0</v>
      </c>
      <c r="D231" s="1">
        <f t="shared" si="169"/>
        <v>0</v>
      </c>
      <c r="E231" s="1"/>
      <c r="F231" s="1"/>
      <c r="G231" s="487"/>
      <c r="H231" s="1" t="s">
        <v>937</v>
      </c>
      <c r="I231" s="1">
        <f t="shared" ref="I231:K231" si="170">+ROUND((I229+I230)*0.02,0)</f>
        <v>0</v>
      </c>
      <c r="J231" s="1">
        <f t="shared" si="170"/>
        <v>0</v>
      </c>
      <c r="K231" s="1">
        <f t="shared" si="170"/>
        <v>0</v>
      </c>
      <c r="L231" s="1"/>
      <c r="M231" s="1"/>
    </row>
    <row r="232" spans="1:13" x14ac:dyDescent="0.25">
      <c r="A232" s="1" t="s">
        <v>632</v>
      </c>
      <c r="B232" s="1">
        <f t="shared" ref="B232:D232" si="171">SUM(B229:B231)</f>
        <v>0</v>
      </c>
      <c r="C232" s="1">
        <f t="shared" si="171"/>
        <v>0</v>
      </c>
      <c r="D232" s="1">
        <f t="shared" si="171"/>
        <v>0</v>
      </c>
      <c r="E232" s="1" t="s">
        <v>923</v>
      </c>
      <c r="F232" s="1">
        <f>IF($F$226="Male",B232,IF($F$226="female",C232,IF($F$226="Sr.citizen&gt;60&lt;80",D232,0)))</f>
        <v>0</v>
      </c>
      <c r="G232" s="487"/>
      <c r="H232" s="1" t="s">
        <v>632</v>
      </c>
      <c r="I232" s="1">
        <f t="shared" ref="I232:K232" si="172">SUM(I229:I231)</f>
        <v>0</v>
      </c>
      <c r="J232" s="1">
        <f t="shared" si="172"/>
        <v>0</v>
      </c>
      <c r="K232" s="1">
        <f t="shared" si="172"/>
        <v>0</v>
      </c>
      <c r="L232" s="1" t="s">
        <v>923</v>
      </c>
      <c r="M232" s="1">
        <f>IF($F$226="Male",I232,IF($F$226="female",J232,IF($F$226="Sr.citizen&gt;60&lt;80",K232,0)))</f>
        <v>0</v>
      </c>
    </row>
    <row r="233" spans="1:13" x14ac:dyDescent="0.25">
      <c r="A233" s="1"/>
      <c r="B233" s="1"/>
      <c r="C233" s="1"/>
      <c r="D233" s="1"/>
      <c r="E233" s="1"/>
      <c r="F233" s="1"/>
      <c r="G233" s="487"/>
      <c r="H233" s="1"/>
      <c r="I233" s="1"/>
      <c r="J233" s="1"/>
      <c r="K233" s="1"/>
      <c r="L233" s="1"/>
      <c r="M233" s="1"/>
    </row>
    <row r="234" spans="1:13" x14ac:dyDescent="0.25">
      <c r="A234" s="1" t="s">
        <v>942</v>
      </c>
      <c r="B234" s="1" t="s">
        <v>907</v>
      </c>
      <c r="C234" s="1"/>
      <c r="D234" s="1">
        <v>0</v>
      </c>
      <c r="E234" s="1"/>
      <c r="F234" s="1"/>
      <c r="G234" s="487"/>
      <c r="H234" s="1" t="s">
        <v>942</v>
      </c>
      <c r="I234" s="1" t="s">
        <v>907</v>
      </c>
      <c r="J234" s="1"/>
      <c r="K234" s="1">
        <v>0</v>
      </c>
      <c r="L234" s="1"/>
      <c r="M234" s="1"/>
    </row>
    <row r="235" spans="1:13" x14ac:dyDescent="0.25">
      <c r="A235" s="1" t="s">
        <v>943</v>
      </c>
      <c r="B235" s="1" t="s">
        <v>855</v>
      </c>
      <c r="C235" s="1" t="s">
        <v>856</v>
      </c>
      <c r="D235" s="1" t="s">
        <v>927</v>
      </c>
      <c r="E235" s="1"/>
      <c r="F235" s="1"/>
      <c r="G235" s="487"/>
      <c r="H235" s="1" t="s">
        <v>943</v>
      </c>
      <c r="I235" s="1" t="s">
        <v>855</v>
      </c>
      <c r="J235" s="1" t="s">
        <v>856</v>
      </c>
      <c r="K235" s="1" t="s">
        <v>927</v>
      </c>
      <c r="L235" s="1"/>
      <c r="M235" s="1"/>
    </row>
    <row r="236" spans="1:13" x14ac:dyDescent="0.25">
      <c r="A236" s="1" t="s">
        <v>910</v>
      </c>
      <c r="B236" s="1">
        <v>50000</v>
      </c>
      <c r="C236" s="1">
        <v>50000</v>
      </c>
      <c r="D236" s="1">
        <v>50000</v>
      </c>
      <c r="E236" s="1"/>
      <c r="F236" s="1"/>
      <c r="G236" s="487"/>
      <c r="H236" s="1" t="s">
        <v>910</v>
      </c>
      <c r="I236" s="1">
        <v>50000</v>
      </c>
      <c r="J236" s="1">
        <v>50000</v>
      </c>
      <c r="K236" s="1">
        <v>50000</v>
      </c>
      <c r="L236" s="1"/>
      <c r="M236" s="1"/>
    </row>
    <row r="237" spans="1:13" x14ac:dyDescent="0.25">
      <c r="A237" s="1" t="s">
        <v>911</v>
      </c>
      <c r="B237" s="1">
        <f>IF(AND(D234&gt;=50000,(D234&lt;60000)),(D234-50000)*0.1)+IF(AND(D234&gt;=60000,D234&lt;150000),(1000+(D234-60000)*0.2))+IF(D234&gt;=150000,(19000+(D234-150000)*0.3))</f>
        <v>0</v>
      </c>
      <c r="C237" s="1">
        <f>IF(AND(D234&gt;=50000,(D234&lt;60000)),(D234-50000)*0.1)+IF(AND(D234&gt;=60000,D234&lt;150000),(1000+(D234-60000)*0.2))+IF(D234&gt;=150000,(19000+(D234-150000)*0.3))</f>
        <v>0</v>
      </c>
      <c r="D237" s="1">
        <f>IF(AND(D234&gt;=50000,(D234&lt;60000)),(D234-50000)*0.1)+IF(AND(D234&gt;=60000,D234&lt;150000),(1000+(D234-60000)*0.2))+IF(D234&gt;=150000,(19000+(D234-150000)*0.3))</f>
        <v>0</v>
      </c>
      <c r="E237" s="1"/>
      <c r="F237" s="1"/>
      <c r="G237" s="487"/>
      <c r="H237" s="1" t="s">
        <v>911</v>
      </c>
      <c r="I237" s="1">
        <f>IF(AND(K234&gt;=50000,(K234&lt;60000)),(K234-50000)*0.1)+IF(AND(K234&gt;=60000,K234&lt;150000),(1000+(K234-60000)*0.2))+IF(K234&gt;=150000,(19000+(K234-150000)*0.3))</f>
        <v>0</v>
      </c>
      <c r="J237" s="1">
        <f>IF(AND(K234&gt;=50000,(K234&lt;60000)),(K234-50000)*0.1)+IF(AND(K234&gt;=60000,K234&lt;150000),(1000+(K234-60000)*0.2))+IF(K234&gt;=150000,(19000+(K234-150000)*0.3))</f>
        <v>0</v>
      </c>
      <c r="K237" s="1">
        <f>IF(AND(K234&gt;=50000,(K234&lt;60000)),(K234-50000)*0.1)+IF(AND(K234&gt;=60000,K234&lt;150000),(1000+(K234-60000)*0.2))+IF(K234&gt;=150000,(19000+(K234-150000)*0.3))</f>
        <v>0</v>
      </c>
      <c r="L237" s="1"/>
      <c r="M237" s="1"/>
    </row>
    <row r="238" spans="1:13" x14ac:dyDescent="0.25">
      <c r="A238" s="1" t="s">
        <v>932</v>
      </c>
      <c r="B238" s="1">
        <f>IF(D234&gt;850000,(MIN(ROUND(B237*0.1,0),((D234-1000000-(B237-250000))))),0)</f>
        <v>0</v>
      </c>
      <c r="C238" s="1">
        <f>IF(D234&gt;850000,(MIN(ROUND(C237*0.1,0),((D234-1000000-(C237-250000))))),0)</f>
        <v>0</v>
      </c>
      <c r="D238" s="1">
        <f>IF(D234&gt;850000,(MIN(ROUND(D237*0.1,0),((D234-1000000-(D237-250000))))),0)</f>
        <v>0</v>
      </c>
      <c r="E238" s="1"/>
      <c r="F238" s="1"/>
      <c r="G238" s="487"/>
      <c r="H238" s="1" t="s">
        <v>932</v>
      </c>
      <c r="I238" s="1">
        <f>IF(K234&gt;850000,(MIN(ROUND(I237*0.1,0),((K234-1000000-(I237-250000))))),0)</f>
        <v>0</v>
      </c>
      <c r="J238" s="1">
        <f>IF(K234&gt;850000,(MIN(ROUND(J237*0.1,0),((K234-1000000-(J237-250000))))),0)</f>
        <v>0</v>
      </c>
      <c r="K238" s="1">
        <f>IF(K234&gt;850000,(MIN(ROUND(K237*0.1,0),((K234-1000000-(K237-250000))))),0)</f>
        <v>0</v>
      </c>
      <c r="L238" s="1"/>
      <c r="M238" s="1"/>
    </row>
    <row r="239" spans="1:13" x14ac:dyDescent="0.25">
      <c r="A239" s="1" t="s">
        <v>937</v>
      </c>
      <c r="B239" s="1">
        <f t="shared" ref="B239:D239" si="173">+ROUND((B237+B238)*0.02,0)</f>
        <v>0</v>
      </c>
      <c r="C239" s="1">
        <f t="shared" si="173"/>
        <v>0</v>
      </c>
      <c r="D239" s="1">
        <f t="shared" si="173"/>
        <v>0</v>
      </c>
      <c r="E239" s="1"/>
      <c r="F239" s="1"/>
      <c r="G239" s="487"/>
      <c r="H239" s="1" t="s">
        <v>937</v>
      </c>
      <c r="I239" s="1">
        <f t="shared" ref="I239:K239" si="174">+ROUND((I237+I238)*0.02,0)</f>
        <v>0</v>
      </c>
      <c r="J239" s="1">
        <f t="shared" si="174"/>
        <v>0</v>
      </c>
      <c r="K239" s="1">
        <f t="shared" si="174"/>
        <v>0</v>
      </c>
      <c r="L239" s="1"/>
      <c r="M239" s="1"/>
    </row>
    <row r="240" spans="1:13" x14ac:dyDescent="0.25">
      <c r="A240" s="1" t="s">
        <v>632</v>
      </c>
      <c r="B240" s="1">
        <f t="shared" ref="B240:D240" si="175">SUM(B237:B239)</f>
        <v>0</v>
      </c>
      <c r="C240" s="1">
        <f t="shared" si="175"/>
        <v>0</v>
      </c>
      <c r="D240" s="1">
        <f t="shared" si="175"/>
        <v>0</v>
      </c>
      <c r="E240" s="1" t="s">
        <v>923</v>
      </c>
      <c r="F240" s="1">
        <f>IF($F$226="Male",B240,IF($F$226="female",C240,IF($F$226="Sr.citizen&gt;60&lt;80",D240,0)))</f>
        <v>0</v>
      </c>
      <c r="G240" s="487"/>
      <c r="H240" s="1" t="s">
        <v>632</v>
      </c>
      <c r="I240" s="1">
        <f t="shared" ref="I240:K240" si="176">SUM(I237:I239)</f>
        <v>0</v>
      </c>
      <c r="J240" s="1">
        <f t="shared" si="176"/>
        <v>0</v>
      </c>
      <c r="K240" s="1">
        <f t="shared" si="176"/>
        <v>0</v>
      </c>
      <c r="L240" s="1" t="s">
        <v>923</v>
      </c>
      <c r="M240" s="1">
        <f>IF($F$226="Male",I240,IF($F$226="female",J240,IF($F$226="Sr.citizen&gt;60&lt;80",K240,0)))</f>
        <v>0</v>
      </c>
    </row>
    <row r="241" spans="1:13" x14ac:dyDescent="0.25">
      <c r="A241" s="1"/>
      <c r="B241" s="1"/>
      <c r="C241" s="1"/>
      <c r="D241" s="1"/>
      <c r="E241" s="1"/>
      <c r="F241" s="1"/>
      <c r="G241" s="487"/>
      <c r="H241" s="1"/>
      <c r="I241" s="1"/>
      <c r="J241" s="1"/>
      <c r="K241" s="1"/>
      <c r="L241" s="1"/>
      <c r="M241" s="1"/>
    </row>
    <row r="242" spans="1:13" x14ac:dyDescent="0.25">
      <c r="A242" s="1" t="s">
        <v>944</v>
      </c>
      <c r="B242" s="1" t="s">
        <v>907</v>
      </c>
      <c r="C242" s="1"/>
      <c r="D242" s="1">
        <v>0</v>
      </c>
      <c r="E242" s="1"/>
      <c r="F242" s="1"/>
      <c r="G242" s="487"/>
      <c r="H242" s="1" t="s">
        <v>944</v>
      </c>
      <c r="I242" s="1" t="s">
        <v>907</v>
      </c>
      <c r="J242" s="1"/>
      <c r="K242" s="1">
        <v>0</v>
      </c>
      <c r="L242" s="1"/>
      <c r="M242" s="1"/>
    </row>
    <row r="243" spans="1:13" x14ac:dyDescent="0.25">
      <c r="A243" s="1" t="s">
        <v>945</v>
      </c>
      <c r="B243" s="1" t="s">
        <v>855</v>
      </c>
      <c r="C243" s="1" t="s">
        <v>856</v>
      </c>
      <c r="D243" s="1" t="s">
        <v>927</v>
      </c>
      <c r="E243" s="1"/>
      <c r="F243" s="1"/>
      <c r="G243" s="487"/>
      <c r="H243" s="1" t="s">
        <v>945</v>
      </c>
      <c r="I243" s="1" t="s">
        <v>855</v>
      </c>
      <c r="J243" s="1" t="s">
        <v>856</v>
      </c>
      <c r="K243" s="1" t="s">
        <v>927</v>
      </c>
      <c r="L243" s="1"/>
      <c r="M243" s="1"/>
    </row>
    <row r="244" spans="1:13" x14ac:dyDescent="0.25">
      <c r="A244" s="1" t="s">
        <v>910</v>
      </c>
      <c r="B244" s="1">
        <v>50000</v>
      </c>
      <c r="C244" s="1">
        <v>50000</v>
      </c>
      <c r="D244" s="1">
        <v>50000</v>
      </c>
      <c r="E244" s="1"/>
      <c r="F244" s="1"/>
      <c r="G244" s="487"/>
      <c r="H244" s="1" t="s">
        <v>910</v>
      </c>
      <c r="I244" s="1">
        <v>50000</v>
      </c>
      <c r="J244" s="1">
        <v>50000</v>
      </c>
      <c r="K244" s="1">
        <v>50000</v>
      </c>
      <c r="L244" s="1"/>
      <c r="M244" s="1"/>
    </row>
    <row r="245" spans="1:13" x14ac:dyDescent="0.25">
      <c r="A245" s="1" t="s">
        <v>911</v>
      </c>
      <c r="B245" s="1">
        <f>IF(AND(D242&gt;=50000,(D242&lt;60000)),(D242-50000)*0.1)+IF(AND(D242&gt;=60000,D242&lt;150000),(1000+(D242-60000)*0.2))+IF(D242&gt;=150000,(19000+(D242-150000)*0.3))</f>
        <v>0</v>
      </c>
      <c r="C245" s="1">
        <f>IF(AND(D242&gt;=50000,(D242&lt;60000)),(D242-50000)*0.1)+IF(AND(D242&gt;=60000,D242&lt;150000),(1000+(D242-60000)*0.2))+IF(D242&gt;=150000,(19000+(D242-150000)*0.3))</f>
        <v>0</v>
      </c>
      <c r="D245" s="1">
        <f>IF(AND(D242&gt;=50000,(D242&lt;60000)),(D242-50000)*0.1)+IF(AND(D242&gt;=60000,D242&lt;150000),(1000+(D242-60000)*0.2))+IF(D242&gt;=150000,(19000+(D242-150000)*0.3))</f>
        <v>0</v>
      </c>
      <c r="E245" s="1"/>
      <c r="F245" s="1"/>
      <c r="G245" s="487"/>
      <c r="H245" s="1" t="s">
        <v>911</v>
      </c>
      <c r="I245" s="1">
        <f>IF(AND(K242&gt;=50000,(K242&lt;60000)),(K242-50000)*0.1)+IF(AND(K242&gt;=60000,K242&lt;150000),(1000+(K242-60000)*0.2))+IF(K242&gt;=150000,(19000+(K242-150000)*0.3))</f>
        <v>0</v>
      </c>
      <c r="J245" s="1">
        <f>IF(AND(K242&gt;=50000,(K242&lt;60000)),(K242-50000)*0.1)+IF(AND(K242&gt;=60000,K242&lt;150000),(1000+(K242-60000)*0.2))+IF(K242&gt;=150000,(19000+(K242-150000)*0.3))</f>
        <v>0</v>
      </c>
      <c r="K245" s="1">
        <f>IF(AND(K242&gt;=50000,(K242&lt;60000)),(K242-50000)*0.1)+IF(AND(K242&gt;=60000,K242&lt;150000),(1000+(K242-60000)*0.2))+IF(K242&gt;=150000,(19000+(K242-150000)*0.3))</f>
        <v>0</v>
      </c>
      <c r="L245" s="1"/>
      <c r="M245" s="1"/>
    </row>
    <row r="246" spans="1:13" x14ac:dyDescent="0.25">
      <c r="A246" s="1" t="s">
        <v>932</v>
      </c>
      <c r="B246" s="1">
        <f>IF(D242&gt;600000,(MIN(ROUND(B245*0.5,0),((D242-1000000-(B245-250000))))),0)</f>
        <v>0</v>
      </c>
      <c r="C246" s="1">
        <f>IF(D242&gt;850000,(MIN(ROUND(C245*0.1,0),((D242-1000000-(C245-250000))))),0)</f>
        <v>0</v>
      </c>
      <c r="D246" s="1">
        <f>IF(D242&gt;850000,(MIN(ROUND(D245*0.1,0),((D242-1000000-(D245-250000))))),0)</f>
        <v>0</v>
      </c>
      <c r="E246" s="1"/>
      <c r="F246" s="1"/>
      <c r="G246" s="487"/>
      <c r="H246" s="1" t="s">
        <v>932</v>
      </c>
      <c r="I246" s="1">
        <f>IF(K242&gt;600000,(MIN(ROUND(I245*0.5,0),((K242-1000000-(I245-250000))))),0)</f>
        <v>0</v>
      </c>
      <c r="J246" s="1">
        <f>IF(K242&gt;850000,(MIN(ROUND(J245*0.1,0),((K242-1000000-(J245-250000))))),0)</f>
        <v>0</v>
      </c>
      <c r="K246" s="1">
        <f>IF(K242&gt;850000,(MIN(ROUND(K245*0.1,0),((K242-1000000-(K245-250000))))),0)</f>
        <v>0</v>
      </c>
      <c r="L246" s="1"/>
      <c r="M246" s="1"/>
    </row>
    <row r="247" spans="1:13" x14ac:dyDescent="0.25">
      <c r="A247" s="1" t="s">
        <v>937</v>
      </c>
      <c r="B247" s="1">
        <f t="shared" ref="B247:D247" si="177">+ROUND((B245+B246)*0.02,0)</f>
        <v>0</v>
      </c>
      <c r="C247" s="1">
        <f t="shared" si="177"/>
        <v>0</v>
      </c>
      <c r="D247" s="1">
        <f t="shared" si="177"/>
        <v>0</v>
      </c>
      <c r="E247" s="1"/>
      <c r="F247" s="1"/>
      <c r="G247" s="487"/>
      <c r="H247" s="1" t="s">
        <v>937</v>
      </c>
      <c r="I247" s="1">
        <f t="shared" ref="I247:K247" si="178">+ROUND((I245+I246)*0.02,0)</f>
        <v>0</v>
      </c>
      <c r="J247" s="1">
        <f t="shared" si="178"/>
        <v>0</v>
      </c>
      <c r="K247" s="1">
        <f t="shared" si="178"/>
        <v>0</v>
      </c>
      <c r="L247" s="1"/>
      <c r="M247" s="1"/>
    </row>
    <row r="248" spans="1:13" x14ac:dyDescent="0.25">
      <c r="A248" s="1" t="s">
        <v>632</v>
      </c>
      <c r="B248" s="1">
        <f t="shared" ref="B248:D248" si="179">SUM(B245:B247)</f>
        <v>0</v>
      </c>
      <c r="C248" s="1">
        <f t="shared" si="179"/>
        <v>0</v>
      </c>
      <c r="D248" s="1">
        <f t="shared" si="179"/>
        <v>0</v>
      </c>
      <c r="E248" s="1" t="s">
        <v>923</v>
      </c>
      <c r="F248" s="1">
        <f>IF($F$226="Male",B248,IF($F$226="female",C248,IF($F$226="Sr.citizen&gt;60&lt;80",D248,0)))</f>
        <v>0</v>
      </c>
      <c r="G248" s="487"/>
      <c r="H248" s="1" t="s">
        <v>632</v>
      </c>
      <c r="I248" s="1">
        <f t="shared" ref="I248:K248" si="180">SUM(I245:I247)</f>
        <v>0</v>
      </c>
      <c r="J248" s="1">
        <f t="shared" si="180"/>
        <v>0</v>
      </c>
      <c r="K248" s="1">
        <f t="shared" si="180"/>
        <v>0</v>
      </c>
      <c r="L248" s="1" t="s">
        <v>923</v>
      </c>
      <c r="M248" s="1">
        <f>IF($F$226="Male",I248,IF($F$226="female",J248,IF($F$226="Sr.citizen&gt;60&lt;80",K248,0)))</f>
        <v>0</v>
      </c>
    </row>
    <row r="249" spans="1:13" x14ac:dyDescent="0.25">
      <c r="A249" s="1"/>
      <c r="B249" s="1"/>
      <c r="C249" s="1"/>
      <c r="D249" s="1"/>
      <c r="E249" s="1"/>
      <c r="F249" s="1"/>
      <c r="G249" s="487"/>
      <c r="H249" s="1"/>
      <c r="I249" s="1"/>
      <c r="J249" s="1"/>
      <c r="K249" s="1"/>
      <c r="L249" s="1"/>
      <c r="M249" s="1"/>
    </row>
    <row r="250" spans="1:13" x14ac:dyDescent="0.25">
      <c r="A250" s="1" t="s">
        <v>946</v>
      </c>
      <c r="B250" s="1" t="s">
        <v>925</v>
      </c>
      <c r="C250" s="1"/>
      <c r="D250" s="1">
        <v>0</v>
      </c>
      <c r="E250" s="1"/>
      <c r="F250" s="1"/>
      <c r="G250" s="487"/>
      <c r="H250" s="1" t="s">
        <v>946</v>
      </c>
      <c r="I250" s="1" t="s">
        <v>925</v>
      </c>
      <c r="J250" s="1"/>
      <c r="K250" s="1">
        <v>0</v>
      </c>
      <c r="L250" s="1"/>
      <c r="M250" s="1"/>
    </row>
    <row r="251" spans="1:13" x14ac:dyDescent="0.25">
      <c r="A251" s="1" t="s">
        <v>947</v>
      </c>
      <c r="B251" s="1" t="s">
        <v>855</v>
      </c>
      <c r="C251" s="1" t="s">
        <v>856</v>
      </c>
      <c r="D251" s="1" t="s">
        <v>927</v>
      </c>
      <c r="E251" s="1"/>
      <c r="F251" s="1"/>
      <c r="G251" s="487"/>
      <c r="H251" s="1" t="s">
        <v>947</v>
      </c>
      <c r="I251" s="1" t="s">
        <v>855</v>
      </c>
      <c r="J251" s="1" t="s">
        <v>856</v>
      </c>
      <c r="K251" s="1" t="s">
        <v>927</v>
      </c>
      <c r="L251" s="1"/>
      <c r="M251" s="1"/>
    </row>
    <row r="252" spans="1:13" x14ac:dyDescent="0.25">
      <c r="A252" s="1" t="s">
        <v>910</v>
      </c>
      <c r="B252" s="1">
        <v>50000</v>
      </c>
      <c r="C252" s="1">
        <v>50000</v>
      </c>
      <c r="D252" s="1">
        <v>50000</v>
      </c>
      <c r="E252" s="1"/>
      <c r="F252" s="1"/>
      <c r="G252" s="487"/>
      <c r="H252" s="1" t="s">
        <v>910</v>
      </c>
      <c r="I252" s="1">
        <v>50000</v>
      </c>
      <c r="J252" s="1">
        <v>50000</v>
      </c>
      <c r="K252" s="1">
        <v>50000</v>
      </c>
      <c r="L252" s="1"/>
      <c r="M252" s="1"/>
    </row>
    <row r="253" spans="1:13" x14ac:dyDescent="0.25">
      <c r="A253" s="1" t="s">
        <v>911</v>
      </c>
      <c r="B253" s="1">
        <f>IF(AND(D250&gt;=50000,(D250&lt;60000)),(D250-50000)*0.1)+IF(AND(D250&gt;=60000,D250&lt;150000),(1000+(D250-60000)*0.2))+IF(D250&gt;=150000,(19000+(D250-150000)*0.3))</f>
        <v>0</v>
      </c>
      <c r="C253" s="1">
        <f>IF(AND(D250&gt;=50000,(D250&lt;60000)),(D250-50000)*0.1)+IF(AND(D250&gt;=60000,D250&lt;150000),(1000+(D250-60000)*0.2))+IF(D250&gt;=150000,(19000+(D250-150000)*0.3))</f>
        <v>0</v>
      </c>
      <c r="D253" s="1">
        <f>IF(AND(D250&gt;=50000,(D250&lt;60000)),(D250-50000)*0.1)+IF(AND(D250&gt;=60000,D250&lt;150000),(1000+(D250-60000)*0.2))+IF(D250&gt;=150000,(19000+(D250-150000)*0.3))</f>
        <v>0</v>
      </c>
      <c r="E253" s="1"/>
      <c r="F253" s="1"/>
      <c r="G253" s="487"/>
      <c r="H253" s="1" t="s">
        <v>911</v>
      </c>
      <c r="I253" s="1">
        <f>IF(AND(K250&gt;=50000,(K250&lt;60000)),(K250-50000)*0.1)+IF(AND(K250&gt;=60000,K250&lt;150000),(1000+(K250-60000)*0.2))+IF(K250&gt;=150000,(19000+(K250-150000)*0.3))</f>
        <v>0</v>
      </c>
      <c r="J253" s="1">
        <f>IF(AND(K250&gt;=50000,(K250&lt;60000)),(K250-50000)*0.1)+IF(AND(K250&gt;=60000,K250&lt;150000),(1000+(K250-60000)*0.2))+IF(K250&gt;=150000,(19000+(K250-150000)*0.3))</f>
        <v>0</v>
      </c>
      <c r="K253" s="1">
        <f>IF(AND(K250&gt;=50000,(K250&lt;60000)),(K250-50000)*0.1)+IF(AND(K250&gt;=60000,K250&lt;150000),(1000+(K250-60000)*0.2))+IF(K250&gt;=150000,(19000+(K250-150000)*0.3))</f>
        <v>0</v>
      </c>
      <c r="L253" s="1"/>
      <c r="M253" s="1"/>
    </row>
    <row r="254" spans="1:13" x14ac:dyDescent="0.25">
      <c r="A254" s="1" t="s">
        <v>948</v>
      </c>
      <c r="B254" s="1">
        <f>IF(D250&gt;600000,(MIN(ROUND(B253*0.2,0),((D250-1000000-(B253-250000))))),0)</f>
        <v>0</v>
      </c>
      <c r="C254" s="1">
        <f>IF(D250&gt;850000,(MIN(ROUND(C253*0.1,0),((D250-1000000-(C253-250000))))),0)</f>
        <v>0</v>
      </c>
      <c r="D254" s="1">
        <f>IF(D250&gt;850000,(MIN(ROUND(D253*0.1,0),((D250-1000000-(D253-250000))))),0)</f>
        <v>0</v>
      </c>
      <c r="E254" s="1"/>
      <c r="F254" s="1"/>
      <c r="G254" s="487"/>
      <c r="H254" s="1" t="s">
        <v>948</v>
      </c>
      <c r="I254" s="1">
        <f>IF(K250&gt;600000,(MIN(ROUND(I253*0.2,0),((K250-1000000-(I253-250000))))),0)</f>
        <v>0</v>
      </c>
      <c r="J254" s="1">
        <f>IF(K250&gt;850000,(MIN(ROUND(J253*0.1,0),((K250-1000000-(J253-250000))))),0)</f>
        <v>0</v>
      </c>
      <c r="K254" s="1">
        <f>IF(K250&gt;850000,(MIN(ROUND(K253*0.1,0),((K250-1000000-(K253-250000))))),0)</f>
        <v>0</v>
      </c>
      <c r="L254" s="1"/>
      <c r="M254" s="1"/>
    </row>
    <row r="255" spans="1:13" x14ac:dyDescent="0.25">
      <c r="A255" s="1" t="s">
        <v>937</v>
      </c>
      <c r="B255" s="1">
        <f t="shared" ref="B255:D255" si="181">+ROUND((B253+B254)*0.02,0)</f>
        <v>0</v>
      </c>
      <c r="C255" s="1">
        <f t="shared" si="181"/>
        <v>0</v>
      </c>
      <c r="D255" s="1">
        <f t="shared" si="181"/>
        <v>0</v>
      </c>
      <c r="E255" s="1"/>
      <c r="F255" s="1"/>
      <c r="G255" s="487"/>
      <c r="H255" s="1" t="s">
        <v>937</v>
      </c>
      <c r="I255" s="1">
        <f t="shared" ref="I255:K255" si="182">+ROUND((I253+I254)*0.02,0)</f>
        <v>0</v>
      </c>
      <c r="J255" s="1">
        <f t="shared" si="182"/>
        <v>0</v>
      </c>
      <c r="K255" s="1">
        <f t="shared" si="182"/>
        <v>0</v>
      </c>
      <c r="L255" s="1"/>
      <c r="M255" s="1"/>
    </row>
    <row r="256" spans="1:13" x14ac:dyDescent="0.25">
      <c r="A256" s="1" t="s">
        <v>632</v>
      </c>
      <c r="B256" s="1">
        <f t="shared" ref="B256:D256" si="183">SUM(B253:B255)</f>
        <v>0</v>
      </c>
      <c r="C256" s="1">
        <f t="shared" si="183"/>
        <v>0</v>
      </c>
      <c r="D256" s="1">
        <f t="shared" si="183"/>
        <v>0</v>
      </c>
      <c r="E256" s="1" t="s">
        <v>923</v>
      </c>
      <c r="F256" s="1">
        <f>IF($F$226="Male",B256,IF($F$226="female",C256,IF($F$226="Sr.citizen&gt;60&lt;80",D256,0)))</f>
        <v>0</v>
      </c>
      <c r="G256" s="487"/>
      <c r="H256" s="1" t="s">
        <v>632</v>
      </c>
      <c r="I256" s="1">
        <f t="shared" ref="I256:K256" si="184">SUM(I253:I255)</f>
        <v>0</v>
      </c>
      <c r="J256" s="1">
        <f t="shared" si="184"/>
        <v>0</v>
      </c>
      <c r="K256" s="1">
        <f t="shared" si="184"/>
        <v>0</v>
      </c>
      <c r="L256" s="1" t="s">
        <v>923</v>
      </c>
      <c r="M256" s="1">
        <f>IF($F$226="Male",I256,IF($F$226="female",J256,IF($F$226="Sr.citizen&gt;60&lt;80",K256,0)))</f>
        <v>0</v>
      </c>
    </row>
    <row r="257" spans="1:13" x14ac:dyDescent="0.25">
      <c r="A257" s="1"/>
      <c r="B257" s="1"/>
      <c r="C257" s="1"/>
      <c r="D257" s="1"/>
      <c r="E257" s="1"/>
      <c r="F257" s="1"/>
      <c r="G257" s="487"/>
      <c r="H257" s="1"/>
      <c r="I257" s="1"/>
      <c r="J257" s="1"/>
      <c r="K257" s="1"/>
      <c r="L257" s="1"/>
      <c r="M257" s="1"/>
    </row>
    <row r="258" spans="1:13" x14ac:dyDescent="0.25">
      <c r="A258" s="1" t="s">
        <v>949</v>
      </c>
      <c r="B258" s="1" t="s">
        <v>907</v>
      </c>
      <c r="C258" s="1"/>
      <c r="D258" s="1">
        <v>0</v>
      </c>
      <c r="E258" s="1"/>
      <c r="F258" s="1"/>
      <c r="G258" s="487"/>
      <c r="H258" s="1" t="s">
        <v>949</v>
      </c>
      <c r="I258" s="1" t="s">
        <v>907</v>
      </c>
      <c r="J258" s="1"/>
      <c r="K258" s="1">
        <v>0</v>
      </c>
      <c r="L258" s="1"/>
      <c r="M258" s="1"/>
    </row>
    <row r="259" spans="1:13" x14ac:dyDescent="0.25">
      <c r="A259" s="1" t="s">
        <v>950</v>
      </c>
      <c r="B259" s="1" t="s">
        <v>855</v>
      </c>
      <c r="C259" s="1" t="s">
        <v>856</v>
      </c>
      <c r="D259" s="1" t="s">
        <v>927</v>
      </c>
      <c r="E259" s="1"/>
      <c r="F259" s="1"/>
      <c r="G259" s="487"/>
      <c r="H259" s="1" t="s">
        <v>950</v>
      </c>
      <c r="I259" s="1" t="s">
        <v>855</v>
      </c>
      <c r="J259" s="1" t="s">
        <v>856</v>
      </c>
      <c r="K259" s="1" t="s">
        <v>927</v>
      </c>
      <c r="L259" s="1"/>
      <c r="M259" s="1"/>
    </row>
    <row r="260" spans="1:13" x14ac:dyDescent="0.25">
      <c r="A260" s="1" t="s">
        <v>910</v>
      </c>
      <c r="B260" s="1">
        <v>50000</v>
      </c>
      <c r="C260" s="1">
        <v>50000</v>
      </c>
      <c r="D260" s="1">
        <v>50000</v>
      </c>
      <c r="E260" s="1"/>
      <c r="F260" s="1"/>
      <c r="G260" s="487"/>
      <c r="H260" s="1" t="s">
        <v>910</v>
      </c>
      <c r="I260" s="1">
        <v>50000</v>
      </c>
      <c r="J260" s="1">
        <v>50000</v>
      </c>
      <c r="K260" s="1">
        <v>50000</v>
      </c>
      <c r="L260" s="1"/>
      <c r="M260" s="1"/>
    </row>
    <row r="261" spans="1:13" x14ac:dyDescent="0.25">
      <c r="A261" s="1" t="s">
        <v>911</v>
      </c>
      <c r="B261" s="1">
        <f>IF(AND(D258&gt;=50000,(D258&lt;60000)),(D258-50000)*0.1)+IF(AND(D258&gt;=60000,D258&lt;150000),(1000+(D258-60000)*0.2))+IF(D258&gt;=150000,(19000+(D258-150000)*0.3))</f>
        <v>0</v>
      </c>
      <c r="C261" s="1">
        <f>IF(AND(D258&gt;=50000,(D258&lt;60000)),(D258-50000)*0.1)+IF(AND(D258&gt;=60000,D258&lt;150000),(1000+(D258-60000)*0.2))+IF(D258&gt;=150000,(19000+(D258-150000)*0.3))</f>
        <v>0</v>
      </c>
      <c r="D261" s="1">
        <f>IF(AND(D258&gt;=50000,(D258&lt;60000)),(D258-50000)*0.1)+IF(AND(D258&gt;=60000,D258&lt;150000),(1000+(D258-60000)*0.2))+IF(D258&gt;=150000,(19000+(D258-150000)*0.3))</f>
        <v>0</v>
      </c>
      <c r="E261" s="1"/>
      <c r="F261" s="1"/>
      <c r="G261" s="487"/>
      <c r="H261" s="1" t="s">
        <v>911</v>
      </c>
      <c r="I261" s="1">
        <f>IF(AND(K258&gt;=50000,(K258&lt;60000)),(K258-50000)*0.1)+IF(AND(K258&gt;=60000,K258&lt;150000),(1000+(K258-60000)*0.2))+IF(K258&gt;=150000,(19000+(K258-150000)*0.3))</f>
        <v>0</v>
      </c>
      <c r="J261" s="1">
        <f>IF(AND(K258&gt;=50000,(K258&lt;60000)),(K258-50000)*0.1)+IF(AND(K258&gt;=60000,K258&lt;150000),(1000+(K258-60000)*0.2))+IF(K258&gt;=150000,(19000+(K258-150000)*0.3))</f>
        <v>0</v>
      </c>
      <c r="K261" s="1">
        <f>IF(AND(K258&gt;=50000,(K258&lt;60000)),(K258-50000)*0.1)+IF(AND(K258&gt;=60000,K258&lt;150000),(1000+(K258-60000)*0.2))+IF(K258&gt;=150000,(19000+(K258-150000)*0.3))</f>
        <v>0</v>
      </c>
      <c r="L261" s="1"/>
      <c r="M261" s="1"/>
    </row>
    <row r="262" spans="1:13" x14ac:dyDescent="0.25">
      <c r="A262" s="1" t="s">
        <v>951</v>
      </c>
      <c r="B262" s="1">
        <f>IF(D258&gt;600000,(MIN(ROUND(B261*0.12,0),((D258-1000000-(B261-250000))))),0)</f>
        <v>0</v>
      </c>
      <c r="C262" s="1">
        <f>IF(D258&gt;850000,(MIN(ROUND(C261*0.1,0),((D258-1000000-(C261-250000))))),0)</f>
        <v>0</v>
      </c>
      <c r="D262" s="1">
        <f>IF(D258&gt;850000,(MIN(ROUND(D261*0.1,0),((D258-1000000-(D261-250000))))),0)</f>
        <v>0</v>
      </c>
      <c r="E262" s="1"/>
      <c r="F262" s="1"/>
      <c r="G262" s="487"/>
      <c r="H262" s="1" t="s">
        <v>951</v>
      </c>
      <c r="I262" s="1">
        <f>IF(K258&gt;600000,(MIN(ROUND(I261*0.12,0),((K258-1000000-(I261-250000))))),0)</f>
        <v>0</v>
      </c>
      <c r="J262" s="1">
        <f>IF(K258&gt;850000,(MIN(ROUND(J261*0.1,0),((K258-1000000-(J261-250000))))),0)</f>
        <v>0</v>
      </c>
      <c r="K262" s="1">
        <f>IF(K258&gt;850000,(MIN(ROUND(K261*0.1,0),((K258-1000000-(K261-250000))))),0)</f>
        <v>0</v>
      </c>
      <c r="L262" s="1"/>
      <c r="M262" s="1"/>
    </row>
    <row r="263" spans="1:13" x14ac:dyDescent="0.25">
      <c r="A263" s="1" t="s">
        <v>937</v>
      </c>
      <c r="B263" s="1">
        <f t="shared" ref="B263:D263" si="185">+ROUND((B261+B262)*0.02,0)</f>
        <v>0</v>
      </c>
      <c r="C263" s="1">
        <f t="shared" si="185"/>
        <v>0</v>
      </c>
      <c r="D263" s="1">
        <f t="shared" si="185"/>
        <v>0</v>
      </c>
      <c r="E263" s="1"/>
      <c r="F263" s="1"/>
      <c r="G263" s="487"/>
      <c r="H263" s="1" t="s">
        <v>937</v>
      </c>
      <c r="I263" s="1">
        <f t="shared" ref="I263:K263" si="186">+ROUND((I261+I262)*0.02,0)</f>
        <v>0</v>
      </c>
      <c r="J263" s="1">
        <f t="shared" si="186"/>
        <v>0</v>
      </c>
      <c r="K263" s="1">
        <f t="shared" si="186"/>
        <v>0</v>
      </c>
      <c r="L263" s="1"/>
      <c r="M263" s="1"/>
    </row>
    <row r="264" spans="1:13" x14ac:dyDescent="0.25">
      <c r="A264" s="1" t="s">
        <v>632</v>
      </c>
      <c r="B264" s="1">
        <f t="shared" ref="B264:D264" si="187">SUM(B261:B263)</f>
        <v>0</v>
      </c>
      <c r="C264" s="1">
        <f t="shared" si="187"/>
        <v>0</v>
      </c>
      <c r="D264" s="1">
        <f t="shared" si="187"/>
        <v>0</v>
      </c>
      <c r="E264" s="1" t="s">
        <v>923</v>
      </c>
      <c r="F264" s="1">
        <f>IF($F$226="Male",B264,IF($F$226="female",C264,IF($F$226="Sr.citizen&gt;60&lt;80",D264,0)))</f>
        <v>0</v>
      </c>
      <c r="G264" s="487"/>
      <c r="H264" s="1" t="s">
        <v>632</v>
      </c>
      <c r="I264" s="1">
        <f t="shared" ref="I264:K264" si="188">SUM(I261:I263)</f>
        <v>0</v>
      </c>
      <c r="J264" s="1">
        <f t="shared" si="188"/>
        <v>0</v>
      </c>
      <c r="K264" s="1">
        <f t="shared" si="188"/>
        <v>0</v>
      </c>
      <c r="L264" s="1" t="s">
        <v>923</v>
      </c>
      <c r="M264" s="1">
        <f>IF($F$226="Male",I264,IF($F$226="female",J264,IF($F$226="Sr.citizen&gt;60&lt;80",K264,0)))</f>
        <v>0</v>
      </c>
    </row>
  </sheetData>
  <pageMargins left="0.7" right="0.7" top="0.75" bottom="0.75" header="0.3" footer="0.3"/>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2095FA43-4C4A-41F4-B5D1-C2D43902524E}">
  <sheetPr codeName="Sheet6">
    <tabColor theme="7" tint="0.59999389629810485"/>
    <pageSetUpPr fitToPage="1"/>
  </sheetPr>
  <dimension ref="A1:X58"/>
  <sheetViews>
    <sheetView showGridLines="0" workbookViewId="0">
      <selection activeCell="U21" sqref="U21"/>
    </sheetView>
  </sheetViews>
  <sheetFormatPr defaultColWidth="0" defaultRowHeight="15" x14ac:dyDescent="0.25"/>
  <cols>
    <col min="1" max="1" width="0.28515625" customWidth="1"/>
    <col min="2" max="3" width="3.28515625" customWidth="1"/>
    <col min="4" max="4" width="6.28515625" customWidth="1"/>
    <col min="5" max="5" width="9.42578125" customWidth="1"/>
    <col min="6" max="6" width="2.5703125" customWidth="1"/>
    <col min="7" max="8" width="7.5703125" customWidth="1"/>
    <col min="9" max="9" width="13" customWidth="1"/>
    <col min="10" max="10" width="3.42578125" customWidth="1"/>
    <col min="11" max="11" width="2.5703125" customWidth="1"/>
    <col min="12" max="12" width="3.28515625" customWidth="1"/>
    <col min="13" max="13" width="6.42578125" customWidth="1"/>
    <col min="14" max="14" width="11.7109375" customWidth="1"/>
    <col min="15" max="15" width="11.5703125" customWidth="1"/>
    <col min="16" max="16" width="12" customWidth="1"/>
    <col min="17" max="17" width="4" customWidth="1"/>
    <col min="18" max="20" width="8.7109375" customWidth="1"/>
    <col min="21" max="21" width="11.42578125" customWidth="1"/>
    <col min="22" max="22" width="11" customWidth="1"/>
    <col min="23" max="24" width="8.7109375" customWidth="1"/>
    <col min="25" max="16384" width="8.7109375" hidden="1"/>
  </cols>
  <sheetData>
    <row r="1" spans="2:21" ht="49.5" customHeight="1" x14ac:dyDescent="0.25">
      <c r="B1" s="1302" t="s">
        <v>727</v>
      </c>
      <c r="C1" s="1302"/>
      <c r="D1" s="1302"/>
      <c r="E1" s="1302"/>
      <c r="F1" s="1302"/>
      <c r="G1" s="1302"/>
      <c r="H1" s="1302"/>
      <c r="I1" s="1302"/>
      <c r="J1" s="1302"/>
      <c r="K1" s="1302"/>
      <c r="L1" s="1302"/>
      <c r="M1" s="1302"/>
      <c r="N1" s="1302"/>
      <c r="O1" s="1302"/>
      <c r="P1" s="1302"/>
    </row>
    <row r="2" spans="2:21" ht="17.649999999999999" customHeight="1" x14ac:dyDescent="0.25">
      <c r="B2" s="1330" t="s">
        <v>194</v>
      </c>
      <c r="C2" s="1330"/>
      <c r="D2" s="1330"/>
      <c r="E2" s="1330"/>
      <c r="F2" s="1330"/>
      <c r="G2" s="1330"/>
      <c r="H2" s="1330"/>
      <c r="I2" s="1330"/>
      <c r="J2" s="1330"/>
      <c r="K2" s="1330"/>
      <c r="L2" s="1330"/>
      <c r="M2" s="1330"/>
      <c r="N2" s="1330"/>
      <c r="O2" s="1330"/>
      <c r="P2" s="1330"/>
    </row>
    <row r="3" spans="2:21" ht="15.75" x14ac:dyDescent="0.25">
      <c r="B3" s="1331" t="s">
        <v>195</v>
      </c>
      <c r="C3" s="1331"/>
      <c r="D3" s="1331"/>
      <c r="E3" s="1331"/>
      <c r="F3" s="1331"/>
      <c r="G3" s="1331"/>
      <c r="H3" s="1331"/>
      <c r="I3" s="1331"/>
      <c r="J3" s="1331"/>
      <c r="K3" s="1331"/>
      <c r="L3" s="1331"/>
      <c r="M3" s="1331"/>
      <c r="N3" s="1331"/>
      <c r="O3" s="1331"/>
      <c r="P3" s="1331"/>
    </row>
    <row r="4" spans="2:21" x14ac:dyDescent="0.25">
      <c r="B4" s="1332" t="s">
        <v>196</v>
      </c>
      <c r="C4" s="1332"/>
      <c r="D4" s="1332"/>
      <c r="E4" s="1332"/>
      <c r="F4" s="1332"/>
      <c r="G4" s="1332"/>
      <c r="H4" s="1332"/>
      <c r="I4" s="1332"/>
      <c r="J4" s="1333" t="s">
        <v>197</v>
      </c>
      <c r="K4" s="1334"/>
      <c r="L4" s="1334"/>
      <c r="M4" s="1334"/>
      <c r="N4" s="1334"/>
      <c r="O4" s="1334"/>
      <c r="P4" s="1335"/>
      <c r="R4" s="1340" t="s">
        <v>1106</v>
      </c>
      <c r="S4" s="1340"/>
      <c r="T4" s="1340"/>
      <c r="U4" s="1340"/>
    </row>
    <row r="5" spans="2:21" ht="16.5" x14ac:dyDescent="0.25">
      <c r="B5" s="1336" t="str">
        <f>DATA!E12&amp;""</f>
        <v/>
      </c>
      <c r="C5" s="1337"/>
      <c r="D5" s="1337"/>
      <c r="E5" s="1337"/>
      <c r="F5" s="1337"/>
      <c r="G5" s="1337"/>
      <c r="H5" s="1337"/>
      <c r="I5" s="1338"/>
      <c r="J5" s="1339" t="str">
        <f>Sections!G2</f>
        <v>Sri/Smt xyz   SA Maths</v>
      </c>
      <c r="K5" s="1339"/>
      <c r="L5" s="1339"/>
      <c r="M5" s="1339"/>
      <c r="N5" s="1339"/>
      <c r="O5" s="1339"/>
      <c r="P5" s="1339"/>
      <c r="R5" s="1340"/>
      <c r="S5" s="1340"/>
      <c r="T5" s="1340"/>
      <c r="U5" s="1340"/>
    </row>
    <row r="6" spans="2:21" ht="16.5" x14ac:dyDescent="0.25">
      <c r="B6" s="1336" t="str">
        <f>DATA!E14&amp;""</f>
        <v/>
      </c>
      <c r="C6" s="1337"/>
      <c r="D6" s="1337"/>
      <c r="E6" s="1337"/>
      <c r="F6" s="1337"/>
      <c r="G6" s="1337"/>
      <c r="H6" s="1337"/>
      <c r="I6" s="1338"/>
      <c r="J6" s="1339" t="str">
        <f>DATA!E7&amp;""</f>
        <v>ZPHS Marepally</v>
      </c>
      <c r="K6" s="1339"/>
      <c r="L6" s="1339"/>
      <c r="M6" s="1339"/>
      <c r="N6" s="1339"/>
      <c r="O6" s="1339"/>
      <c r="P6" s="1339"/>
      <c r="R6" s="1340"/>
      <c r="S6" s="1340"/>
      <c r="T6" s="1340"/>
      <c r="U6" s="1340"/>
    </row>
    <row r="7" spans="2:21" ht="3" customHeight="1" x14ac:dyDescent="0.25">
      <c r="B7" s="1357"/>
      <c r="C7" s="1358"/>
      <c r="D7" s="1358"/>
      <c r="E7" s="1358"/>
      <c r="F7" s="1358"/>
      <c r="G7" s="1358"/>
      <c r="H7" s="1358"/>
      <c r="I7" s="1358"/>
      <c r="J7" s="1358"/>
      <c r="K7" s="1358"/>
      <c r="L7" s="1358"/>
      <c r="M7" s="1358"/>
      <c r="N7" s="1358"/>
      <c r="O7" s="1358"/>
      <c r="P7" s="1359"/>
      <c r="R7" s="1340"/>
      <c r="S7" s="1340"/>
      <c r="T7" s="1340"/>
      <c r="U7" s="1340"/>
    </row>
    <row r="8" spans="2:21" ht="15.75" x14ac:dyDescent="0.25">
      <c r="B8" s="1319" t="s">
        <v>198</v>
      </c>
      <c r="C8" s="1319"/>
      <c r="D8" s="1319"/>
      <c r="E8" s="1319"/>
      <c r="F8" s="1319" t="s">
        <v>199</v>
      </c>
      <c r="G8" s="1319"/>
      <c r="H8" s="1319"/>
      <c r="I8" s="1319"/>
      <c r="J8" s="1319" t="s">
        <v>200</v>
      </c>
      <c r="K8" s="1319"/>
      <c r="L8" s="1319"/>
      <c r="M8" s="1319"/>
      <c r="N8" s="1319"/>
      <c r="O8" s="1322" t="s">
        <v>201</v>
      </c>
      <c r="P8" s="1322"/>
      <c r="R8" s="1340"/>
      <c r="S8" s="1340"/>
      <c r="T8" s="1340"/>
      <c r="U8" s="1340"/>
    </row>
    <row r="9" spans="2:21" ht="15.75" x14ac:dyDescent="0.25">
      <c r="B9" s="1318" t="str">
        <f>DATA!C15&amp;""</f>
        <v>PANNOTREQD</v>
      </c>
      <c r="C9" s="1318"/>
      <c r="D9" s="1318"/>
      <c r="E9" s="1318"/>
      <c r="F9" s="1319" t="str">
        <f>DATA!E15&amp;""</f>
        <v/>
      </c>
      <c r="G9" s="1319"/>
      <c r="H9" s="1319"/>
      <c r="I9" s="1319"/>
      <c r="J9" s="1320" t="str">
        <f>DATA!E8&amp;""</f>
        <v>XXX</v>
      </c>
      <c r="K9" s="1319"/>
      <c r="L9" s="1319"/>
      <c r="M9" s="1319"/>
      <c r="N9" s="1319"/>
      <c r="O9" s="1321" t="str">
        <f>DATA!E9&amp;""</f>
        <v>XXX</v>
      </c>
      <c r="P9" s="1322"/>
      <c r="R9" s="1340"/>
      <c r="S9" s="1340"/>
      <c r="T9" s="1340"/>
      <c r="U9" s="1340"/>
    </row>
    <row r="10" spans="2:21" ht="16.5" thickBot="1" x14ac:dyDescent="0.3">
      <c r="B10" s="1325" t="s">
        <v>202</v>
      </c>
      <c r="C10" s="1326"/>
      <c r="D10" s="1326"/>
      <c r="E10" s="1326"/>
      <c r="F10" s="1326"/>
      <c r="G10" s="1326"/>
      <c r="H10" s="1326"/>
      <c r="I10" s="1326"/>
      <c r="J10" s="1326"/>
      <c r="K10" s="1326"/>
      <c r="L10" s="1326"/>
      <c r="M10" s="1326"/>
      <c r="N10" s="1326"/>
      <c r="O10" s="1326"/>
      <c r="P10" s="1327"/>
      <c r="R10" s="1340"/>
      <c r="S10" s="1340"/>
      <c r="T10" s="1340"/>
      <c r="U10" s="1340"/>
    </row>
    <row r="11" spans="2:21" ht="18.75" x14ac:dyDescent="0.25">
      <c r="B11" s="1349" t="s">
        <v>203</v>
      </c>
      <c r="C11" s="1349"/>
      <c r="D11" s="1350" t="s">
        <v>204</v>
      </c>
      <c r="E11" s="1351"/>
      <c r="F11" s="1351"/>
      <c r="G11" s="1352"/>
      <c r="H11" s="1353" t="s">
        <v>130</v>
      </c>
      <c r="I11" s="1350"/>
      <c r="J11" s="1354" t="s">
        <v>17</v>
      </c>
      <c r="K11" s="1355"/>
      <c r="L11" s="1355"/>
      <c r="M11" s="1355"/>
      <c r="N11" s="1356"/>
      <c r="O11" s="955" t="s">
        <v>205</v>
      </c>
      <c r="P11" s="41" t="s">
        <v>206</v>
      </c>
      <c r="R11" s="1340"/>
      <c r="S11" s="1340"/>
      <c r="T11" s="1340"/>
      <c r="U11" s="1340"/>
    </row>
    <row r="12" spans="2:21" ht="12" customHeight="1" x14ac:dyDescent="0.25">
      <c r="B12" s="1310">
        <v>1</v>
      </c>
      <c r="C12" s="1310"/>
      <c r="D12" s="1311"/>
      <c r="E12" s="1311"/>
      <c r="F12" s="1311"/>
      <c r="G12" s="1311"/>
      <c r="H12" s="1312"/>
      <c r="I12" s="1313"/>
      <c r="J12" s="1328" t="s">
        <v>80</v>
      </c>
      <c r="K12" s="1329"/>
      <c r="L12" s="1329"/>
      <c r="M12" s="1329"/>
      <c r="N12" s="347" t="s">
        <v>111</v>
      </c>
      <c r="O12" s="954" t="s">
        <v>207</v>
      </c>
      <c r="P12" s="42" t="s">
        <v>207</v>
      </c>
      <c r="R12" s="1340"/>
      <c r="S12" s="1340"/>
      <c r="T12" s="1340"/>
      <c r="U12" s="1340"/>
    </row>
    <row r="13" spans="2:21" ht="12" customHeight="1" x14ac:dyDescent="0.25">
      <c r="B13" s="1310">
        <v>2</v>
      </c>
      <c r="C13" s="1310"/>
      <c r="D13" s="1311"/>
      <c r="E13" s="1311"/>
      <c r="F13" s="1311"/>
      <c r="G13" s="1311"/>
      <c r="H13" s="1312"/>
      <c r="I13" s="1313"/>
      <c r="J13" s="1314" t="str">
        <f>"April,"&amp;DATA!CH2</f>
        <v>April,2025</v>
      </c>
      <c r="K13" s="1315"/>
      <c r="L13" s="1315"/>
      <c r="M13" s="1315"/>
      <c r="N13" s="1306" t="str">
        <f>"Mar,"&amp;DATA!CH3</f>
        <v>Mar,2026</v>
      </c>
      <c r="O13" s="1308" t="str">
        <f>DATA!CH4</f>
        <v>2025-2026</v>
      </c>
      <c r="P13" s="1309" t="str">
        <f>DATA!CI4</f>
        <v>2026-2027</v>
      </c>
      <c r="R13" s="1340"/>
      <c r="S13" s="1340"/>
      <c r="T13" s="1340"/>
      <c r="U13" s="1340"/>
    </row>
    <row r="14" spans="2:21" ht="12" customHeight="1" x14ac:dyDescent="0.25">
      <c r="B14" s="1310">
        <v>3</v>
      </c>
      <c r="C14" s="1310"/>
      <c r="D14" s="1311"/>
      <c r="E14" s="1311"/>
      <c r="F14" s="1311"/>
      <c r="G14" s="1311"/>
      <c r="H14" s="1312"/>
      <c r="I14" s="1313"/>
      <c r="J14" s="1314"/>
      <c r="K14" s="1315"/>
      <c r="L14" s="1315"/>
      <c r="M14" s="1315"/>
      <c r="N14" s="1306"/>
      <c r="O14" s="1308"/>
      <c r="P14" s="1309"/>
      <c r="R14" s="1340"/>
      <c r="S14" s="1340"/>
      <c r="T14" s="1340"/>
      <c r="U14" s="1340"/>
    </row>
    <row r="15" spans="2:21" ht="12" customHeight="1" thickBot="1" x14ac:dyDescent="0.3">
      <c r="B15" s="1310">
        <v>4</v>
      </c>
      <c r="C15" s="1310"/>
      <c r="D15" s="1311"/>
      <c r="E15" s="1311"/>
      <c r="F15" s="1311"/>
      <c r="G15" s="1311"/>
      <c r="H15" s="1312"/>
      <c r="I15" s="1313"/>
      <c r="J15" s="1316"/>
      <c r="K15" s="1317"/>
      <c r="L15" s="1317"/>
      <c r="M15" s="1317"/>
      <c r="N15" s="1307"/>
      <c r="O15" s="1308"/>
      <c r="P15" s="1309"/>
      <c r="R15" s="1340"/>
      <c r="S15" s="1340"/>
      <c r="T15" s="1340"/>
      <c r="U15" s="1340"/>
    </row>
    <row r="16" spans="2:21" ht="7.9" customHeight="1" x14ac:dyDescent="0.25">
      <c r="B16" s="1323" t="s">
        <v>643</v>
      </c>
      <c r="C16" s="1323"/>
      <c r="D16" s="1323"/>
      <c r="E16" s="1323"/>
      <c r="F16" s="1323"/>
      <c r="G16" s="1323"/>
      <c r="H16" s="1323"/>
      <c r="I16" s="1323"/>
      <c r="J16" s="1324"/>
      <c r="K16" s="1324"/>
      <c r="L16" s="1324"/>
      <c r="M16" s="1324"/>
      <c r="N16" s="1324"/>
      <c r="O16" s="1323"/>
      <c r="P16" s="1323"/>
      <c r="R16" s="1340"/>
      <c r="S16" s="1340"/>
      <c r="T16" s="1340"/>
      <c r="U16" s="1340"/>
    </row>
    <row r="17" spans="2:20" ht="8.65" customHeight="1" x14ac:dyDescent="0.25">
      <c r="B17" s="1323"/>
      <c r="C17" s="1323"/>
      <c r="D17" s="1323"/>
      <c r="E17" s="1323"/>
      <c r="F17" s="1323"/>
      <c r="G17" s="1323"/>
      <c r="H17" s="1323"/>
      <c r="I17" s="1323"/>
      <c r="J17" s="1323"/>
      <c r="K17" s="1323"/>
      <c r="L17" s="1323"/>
      <c r="M17" s="1323"/>
      <c r="N17" s="1323"/>
      <c r="O17" s="1323"/>
      <c r="P17" s="1323"/>
    </row>
    <row r="18" spans="2:20" ht="16.899999999999999" customHeight="1" x14ac:dyDescent="0.25">
      <c r="B18" s="1303" t="str">
        <f ca="1">"Details of Salary Paid and any other income and tax deducted  Under "&amp;ANNEXURE!AH37</f>
        <v>Details of Salary Paid and any other income and tax deducted  Under New Regime</v>
      </c>
      <c r="C18" s="1304"/>
      <c r="D18" s="1304"/>
      <c r="E18" s="1304"/>
      <c r="F18" s="1304"/>
      <c r="G18" s="1304"/>
      <c r="H18" s="1304"/>
      <c r="I18" s="1304"/>
      <c r="J18" s="1304"/>
      <c r="K18" s="1304"/>
      <c r="L18" s="1304"/>
      <c r="M18" s="1304"/>
      <c r="N18" s="1304"/>
      <c r="O18" s="1304"/>
      <c r="P18" s="1305"/>
      <c r="T18" s="393"/>
    </row>
    <row r="19" spans="2:20" ht="12" customHeight="1" x14ac:dyDescent="0.25">
      <c r="B19" s="43"/>
      <c r="C19" s="44"/>
      <c r="D19" s="44"/>
      <c r="E19" s="44"/>
      <c r="F19" s="44"/>
      <c r="G19" s="44"/>
      <c r="H19" s="44"/>
      <c r="I19" s="44"/>
      <c r="J19" s="44"/>
      <c r="K19" s="44"/>
      <c r="L19" s="44"/>
      <c r="M19" s="44"/>
      <c r="N19" s="45" t="s">
        <v>208</v>
      </c>
      <c r="O19" s="45" t="s">
        <v>208</v>
      </c>
      <c r="P19" s="46" t="s">
        <v>208</v>
      </c>
    </row>
    <row r="20" spans="2:20" ht="18.75" x14ac:dyDescent="0.25">
      <c r="B20" s="47" t="s">
        <v>209</v>
      </c>
      <c r="C20" s="48"/>
      <c r="D20" s="49"/>
      <c r="E20" s="49"/>
      <c r="F20" s="49"/>
      <c r="G20" s="49"/>
      <c r="H20" s="49"/>
      <c r="I20" s="49"/>
      <c r="J20" s="49"/>
      <c r="K20" s="49"/>
      <c r="L20" s="49"/>
      <c r="M20" s="50"/>
      <c r="N20" s="160"/>
      <c r="O20" s="161"/>
      <c r="P20" s="162"/>
    </row>
    <row r="21" spans="2:20" ht="16.5" x14ac:dyDescent="0.3">
      <c r="B21" s="51"/>
      <c r="C21" s="52" t="s">
        <v>210</v>
      </c>
      <c r="D21" s="53"/>
      <c r="E21" s="53"/>
      <c r="F21" s="53"/>
      <c r="G21" s="53"/>
      <c r="H21" s="53"/>
      <c r="I21" s="53"/>
      <c r="J21" s="53"/>
      <c r="K21" s="53"/>
      <c r="L21" s="53"/>
      <c r="M21" s="54"/>
      <c r="N21" s="163"/>
      <c r="O21" s="68">
        <f ca="1">ANNEXURE!K7</f>
        <v>1417818</v>
      </c>
      <c r="P21" s="164"/>
    </row>
    <row r="22" spans="2:20" ht="16.5" x14ac:dyDescent="0.3">
      <c r="B22" s="51"/>
      <c r="C22" s="52" t="s">
        <v>211</v>
      </c>
      <c r="D22" s="53"/>
      <c r="E22" s="53"/>
      <c r="F22" s="53"/>
      <c r="G22" s="53"/>
      <c r="H22" s="53"/>
      <c r="I22" s="53"/>
      <c r="J22" s="53"/>
      <c r="K22" s="53"/>
      <c r="L22" s="53"/>
      <c r="M22" s="54"/>
      <c r="N22" s="163"/>
      <c r="O22" s="68"/>
      <c r="P22" s="164"/>
    </row>
    <row r="23" spans="2:20" ht="16.5" x14ac:dyDescent="0.3">
      <c r="B23" s="51"/>
      <c r="C23" s="52" t="s">
        <v>212</v>
      </c>
      <c r="D23" s="53"/>
      <c r="E23" s="53"/>
      <c r="F23" s="53"/>
      <c r="G23" s="53"/>
      <c r="H23" s="53"/>
      <c r="I23" s="53"/>
      <c r="J23" s="53"/>
      <c r="K23" s="53"/>
      <c r="L23" s="53"/>
      <c r="M23" s="54"/>
      <c r="N23" s="163"/>
      <c r="O23" s="68"/>
      <c r="P23" s="164"/>
    </row>
    <row r="24" spans="2:20" ht="17.25" x14ac:dyDescent="0.3">
      <c r="B24" s="51"/>
      <c r="C24" s="55" t="s">
        <v>213</v>
      </c>
      <c r="D24" s="53"/>
      <c r="E24" s="53"/>
      <c r="F24" s="53"/>
      <c r="G24" s="53"/>
      <c r="H24" s="53"/>
      <c r="I24" s="53"/>
      <c r="J24" s="53"/>
      <c r="K24" s="53"/>
      <c r="L24" s="53"/>
      <c r="M24" s="54"/>
      <c r="N24" s="165"/>
      <c r="O24" s="68"/>
      <c r="P24" s="166">
        <f ca="1">SUM(O21:O23)</f>
        <v>1417818</v>
      </c>
    </row>
    <row r="25" spans="2:20" ht="14.65" customHeight="1" x14ac:dyDescent="0.25">
      <c r="B25" s="56" t="s">
        <v>171</v>
      </c>
      <c r="C25" s="57"/>
      <c r="D25" s="58"/>
      <c r="E25" s="58"/>
      <c r="F25" s="58"/>
      <c r="G25" s="58"/>
      <c r="H25" s="58"/>
      <c r="I25" s="58"/>
      <c r="J25" s="58"/>
      <c r="K25" s="58"/>
      <c r="L25" s="58"/>
      <c r="M25" s="59"/>
      <c r="N25" s="165"/>
      <c r="O25" s="68"/>
      <c r="P25" s="164"/>
    </row>
    <row r="26" spans="2:20" ht="16.5" x14ac:dyDescent="0.3">
      <c r="B26" s="51"/>
      <c r="C26" s="52" t="s">
        <v>214</v>
      </c>
      <c r="D26" s="53"/>
      <c r="E26" s="53"/>
      <c r="F26" s="53"/>
      <c r="G26" s="53"/>
      <c r="H26" s="53"/>
      <c r="I26" s="53"/>
      <c r="J26" s="53"/>
      <c r="K26" s="53"/>
      <c r="L26" s="53"/>
      <c r="M26" s="54"/>
      <c r="N26" s="163"/>
      <c r="O26" s="68">
        <f ca="1">ANNEXURE!J10</f>
        <v>0</v>
      </c>
      <c r="P26" s="164"/>
    </row>
    <row r="27" spans="2:20" ht="16.5" x14ac:dyDescent="0.3">
      <c r="B27" s="51"/>
      <c r="C27" s="52" t="s">
        <v>172</v>
      </c>
      <c r="D27" s="53"/>
      <c r="E27" s="53"/>
      <c r="F27" s="53"/>
      <c r="G27" s="53"/>
      <c r="H27" s="53"/>
      <c r="I27" s="53"/>
      <c r="J27" s="53"/>
      <c r="K27" s="53"/>
      <c r="L27" s="53"/>
      <c r="M27" s="54"/>
      <c r="N27" s="163"/>
      <c r="O27" s="68">
        <f ca="1">ANNEXURE!J14</f>
        <v>0</v>
      </c>
      <c r="P27" s="164"/>
    </row>
    <row r="28" spans="2:20" ht="16.5" x14ac:dyDescent="0.3">
      <c r="B28" s="51"/>
      <c r="C28" s="52" t="s">
        <v>173</v>
      </c>
      <c r="D28" s="53"/>
      <c r="E28" s="53"/>
      <c r="F28" s="53"/>
      <c r="G28" s="53"/>
      <c r="H28" s="53"/>
      <c r="I28" s="53"/>
      <c r="J28" s="53"/>
      <c r="K28" s="53"/>
      <c r="L28" s="53"/>
      <c r="M28" s="54"/>
      <c r="N28" s="165"/>
      <c r="O28" s="68">
        <f>ANNEXURE!J15</f>
        <v>0</v>
      </c>
      <c r="P28" s="164"/>
    </row>
    <row r="29" spans="2:20" ht="18.75" x14ac:dyDescent="0.3">
      <c r="B29" s="51"/>
      <c r="C29" s="60" t="s">
        <v>215</v>
      </c>
      <c r="D29" s="61"/>
      <c r="E29" s="61"/>
      <c r="F29" s="61"/>
      <c r="G29" s="61"/>
      <c r="H29" s="61"/>
      <c r="I29" s="61"/>
      <c r="J29" s="61"/>
      <c r="K29" s="61"/>
      <c r="L29" s="61"/>
      <c r="M29" s="62"/>
      <c r="N29" s="163"/>
      <c r="O29" s="68">
        <f ca="1">-SUM(O26:O28)</f>
        <v>0</v>
      </c>
      <c r="P29" s="164">
        <f ca="1">ANNEXURE!K8</f>
        <v>1417818</v>
      </c>
    </row>
    <row r="30" spans="2:20" ht="18.75" x14ac:dyDescent="0.25">
      <c r="B30" s="56" t="s">
        <v>174</v>
      </c>
      <c r="C30" s="57"/>
      <c r="D30" s="58"/>
      <c r="E30" s="58"/>
      <c r="F30" s="58"/>
      <c r="G30" s="58"/>
      <c r="H30" s="58"/>
      <c r="I30" s="58"/>
      <c r="J30" s="58"/>
      <c r="K30" s="58"/>
      <c r="L30" s="58"/>
      <c r="M30" s="59"/>
      <c r="N30" s="165"/>
      <c r="O30" s="68"/>
      <c r="P30" s="164"/>
    </row>
    <row r="31" spans="2:20" ht="16.5" x14ac:dyDescent="0.3">
      <c r="B31" s="51"/>
      <c r="C31" s="52" t="s">
        <v>175</v>
      </c>
      <c r="D31" s="53"/>
      <c r="E31" s="53"/>
      <c r="F31" s="53"/>
      <c r="G31" s="53"/>
      <c r="H31" s="53"/>
      <c r="I31" s="53"/>
      <c r="J31" s="53"/>
      <c r="K31" s="53"/>
      <c r="L31" s="53"/>
      <c r="M31" s="54"/>
      <c r="N31" s="165"/>
      <c r="O31" s="68">
        <f ca="1">ANNEXURE!I17</f>
        <v>75000</v>
      </c>
      <c r="P31" s="164"/>
    </row>
    <row r="32" spans="2:20" ht="16.5" x14ac:dyDescent="0.3">
      <c r="B32" s="51"/>
      <c r="C32" s="52" t="s">
        <v>176</v>
      </c>
      <c r="D32" s="53"/>
      <c r="E32" s="53"/>
      <c r="F32" s="53"/>
      <c r="G32" s="53"/>
      <c r="H32" s="53"/>
      <c r="I32" s="53"/>
      <c r="J32" s="53"/>
      <c r="K32" s="53"/>
      <c r="L32" s="53"/>
      <c r="M32" s="54"/>
      <c r="N32" s="165"/>
      <c r="O32" s="68">
        <f>ANNEXURE!I18</f>
        <v>0</v>
      </c>
      <c r="P32" s="164"/>
    </row>
    <row r="33" spans="2:16" ht="16.5" x14ac:dyDescent="0.3">
      <c r="B33" s="51"/>
      <c r="C33" s="52" t="s">
        <v>177</v>
      </c>
      <c r="D33" s="53"/>
      <c r="E33" s="53"/>
      <c r="F33" s="53"/>
      <c r="G33" s="53"/>
      <c r="H33" s="53"/>
      <c r="I33" s="53"/>
      <c r="J33" s="53"/>
      <c r="K33" s="53"/>
      <c r="L33" s="53"/>
      <c r="M33" s="54"/>
      <c r="N33" s="165"/>
      <c r="O33" s="68">
        <f ca="1">ANNEXURE!I19</f>
        <v>0</v>
      </c>
      <c r="P33" s="164"/>
    </row>
    <row r="34" spans="2:16" ht="16.5" x14ac:dyDescent="0.3">
      <c r="B34" s="51"/>
      <c r="C34" s="60" t="s">
        <v>216</v>
      </c>
      <c r="D34" s="58"/>
      <c r="E34" s="58"/>
      <c r="F34" s="58"/>
      <c r="G34" s="58"/>
      <c r="H34" s="58"/>
      <c r="I34" s="58"/>
      <c r="J34" s="58"/>
      <c r="K34" s="58"/>
      <c r="L34" s="58"/>
      <c r="M34" s="59"/>
      <c r="N34" s="165"/>
      <c r="O34" s="68">
        <f ca="1">ANNEXURE!J16</f>
        <v>-75000</v>
      </c>
      <c r="P34" s="164">
        <f ca="1">ANNEXURE!K16</f>
        <v>1342818</v>
      </c>
    </row>
    <row r="35" spans="2:16" ht="16.5" x14ac:dyDescent="0.25">
      <c r="B35" s="63" t="s">
        <v>217</v>
      </c>
      <c r="C35" s="57"/>
      <c r="D35" s="58"/>
      <c r="E35" s="58"/>
      <c r="F35" s="58"/>
      <c r="G35" s="58"/>
      <c r="H35" s="58"/>
      <c r="I35" s="58"/>
      <c r="J35" s="58"/>
      <c r="K35" s="58"/>
      <c r="L35" s="58"/>
      <c r="M35" s="59"/>
      <c r="N35" s="165"/>
      <c r="O35" s="68"/>
      <c r="P35" s="164">
        <f ca="1">ANNEXURE!K20</f>
        <v>1342818</v>
      </c>
    </row>
    <row r="36" spans="2:16" ht="16.5" x14ac:dyDescent="0.25">
      <c r="B36" s="64" t="s">
        <v>178</v>
      </c>
      <c r="C36" s="57"/>
      <c r="D36" s="58"/>
      <c r="E36" s="58"/>
      <c r="F36" s="58"/>
      <c r="G36" s="58"/>
      <c r="H36" s="58"/>
      <c r="I36" s="58"/>
      <c r="J36" s="58"/>
      <c r="K36" s="58"/>
      <c r="L36" s="58"/>
      <c r="M36" s="59"/>
      <c r="N36" s="165"/>
      <c r="O36" s="68"/>
      <c r="P36" s="1341"/>
    </row>
    <row r="37" spans="2:16" ht="15.75" x14ac:dyDescent="0.25">
      <c r="B37" s="65"/>
      <c r="C37" s="52" t="s">
        <v>179</v>
      </c>
      <c r="D37" s="58"/>
      <c r="E37" s="58"/>
      <c r="F37" s="58"/>
      <c r="G37" s="58"/>
      <c r="H37" s="58"/>
      <c r="I37" s="58"/>
      <c r="J37" s="58"/>
      <c r="K37" s="58"/>
      <c r="L37" s="58"/>
      <c r="M37" s="59"/>
      <c r="N37" s="165"/>
      <c r="O37" s="68">
        <f>ANNEXURE!I22</f>
        <v>0</v>
      </c>
      <c r="P37" s="1342"/>
    </row>
    <row r="38" spans="2:16" ht="15.75" x14ac:dyDescent="0.25">
      <c r="B38" s="65"/>
      <c r="C38" s="52" t="s">
        <v>180</v>
      </c>
      <c r="D38" s="58"/>
      <c r="E38" s="58"/>
      <c r="F38" s="58"/>
      <c r="G38" s="58"/>
      <c r="H38" s="58"/>
      <c r="I38" s="58"/>
      <c r="J38" s="58"/>
      <c r="K38" s="58"/>
      <c r="L38" s="58"/>
      <c r="M38" s="59"/>
      <c r="N38" s="165"/>
      <c r="O38" s="68">
        <f ca="1">ANNEXURE!I25</f>
        <v>0</v>
      </c>
      <c r="P38" s="1342"/>
    </row>
    <row r="39" spans="2:16" ht="16.5" x14ac:dyDescent="0.3">
      <c r="B39" s="51"/>
      <c r="C39" s="60" t="s">
        <v>218</v>
      </c>
      <c r="D39" s="66"/>
      <c r="E39" s="66"/>
      <c r="F39" s="66"/>
      <c r="G39" s="66"/>
      <c r="H39" s="66"/>
      <c r="I39" s="66"/>
      <c r="J39" s="66"/>
      <c r="K39" s="66"/>
      <c r="L39" s="66"/>
      <c r="M39" s="67"/>
      <c r="N39" s="165"/>
      <c r="O39" s="68">
        <f ca="1">ANNEXURE!J21</f>
        <v>0</v>
      </c>
      <c r="P39" s="1342"/>
    </row>
    <row r="40" spans="2:16" ht="16.5" x14ac:dyDescent="0.25">
      <c r="B40" s="63" t="s">
        <v>181</v>
      </c>
      <c r="C40" s="57"/>
      <c r="D40" s="58"/>
      <c r="E40" s="58"/>
      <c r="F40" s="58"/>
      <c r="G40" s="58"/>
      <c r="H40" s="58"/>
      <c r="I40" s="58"/>
      <c r="J40" s="58"/>
      <c r="K40" s="58"/>
      <c r="L40" s="58"/>
      <c r="M40" s="59"/>
      <c r="N40" s="165"/>
      <c r="O40" s="68"/>
      <c r="P40" s="1342"/>
    </row>
    <row r="41" spans="2:16" ht="16.5" x14ac:dyDescent="0.3">
      <c r="B41" s="51"/>
      <c r="C41" s="52" t="s">
        <v>182</v>
      </c>
      <c r="D41" s="52" t="s">
        <v>219</v>
      </c>
      <c r="E41" s="53"/>
      <c r="F41" s="53"/>
      <c r="G41" s="53"/>
      <c r="H41" s="53"/>
      <c r="I41" s="53"/>
      <c r="J41" s="53"/>
      <c r="K41" s="53"/>
      <c r="L41" s="53"/>
      <c r="M41" s="54"/>
      <c r="N41" s="165">
        <f>ANNEXURE!I28</f>
        <v>0</v>
      </c>
      <c r="O41" s="68">
        <f>N41</f>
        <v>0</v>
      </c>
      <c r="P41" s="1342"/>
    </row>
    <row r="42" spans="2:16" ht="16.5" x14ac:dyDescent="0.3">
      <c r="B42" s="51"/>
      <c r="C42" s="52" t="s">
        <v>183</v>
      </c>
      <c r="D42" s="52" t="str">
        <f>DATA!B17</f>
        <v>Interest on NSC bonds &amp; Bank deposits</v>
      </c>
      <c r="E42" s="53"/>
      <c r="F42" s="53"/>
      <c r="G42" s="53"/>
      <c r="H42" s="53"/>
      <c r="I42" s="53"/>
      <c r="J42" s="53"/>
      <c r="K42" s="53"/>
      <c r="L42" s="53"/>
      <c r="M42" s="54"/>
      <c r="N42" s="165">
        <f>ANNEXURE!I27</f>
        <v>0</v>
      </c>
      <c r="O42" s="68">
        <f>N42</f>
        <v>0</v>
      </c>
      <c r="P42" s="1343"/>
    </row>
    <row r="43" spans="2:16" ht="17.25" x14ac:dyDescent="0.25">
      <c r="B43" s="63" t="s">
        <v>220</v>
      </c>
      <c r="C43" s="57"/>
      <c r="D43" s="58"/>
      <c r="E43" s="58"/>
      <c r="F43" s="58"/>
      <c r="G43" s="58"/>
      <c r="H43" s="58"/>
      <c r="I43" s="58"/>
      <c r="J43" s="58"/>
      <c r="K43" s="58"/>
      <c r="L43" s="58"/>
      <c r="M43" s="59"/>
      <c r="N43" s="165"/>
      <c r="O43" s="68">
        <f>SUM(O41:O42)</f>
        <v>0</v>
      </c>
      <c r="P43" s="166">
        <f ca="1">ANNEXURE!K29</f>
        <v>1342818</v>
      </c>
    </row>
    <row r="44" spans="2:16" ht="24" customHeight="1" x14ac:dyDescent="0.25">
      <c r="B44" s="56" t="s">
        <v>221</v>
      </c>
      <c r="C44" s="57"/>
      <c r="D44" s="58"/>
      <c r="E44" s="58"/>
      <c r="F44" s="58"/>
      <c r="G44" s="58"/>
      <c r="H44" s="58"/>
      <c r="I44" s="58"/>
      <c r="J44" s="58"/>
      <c r="K44" s="58"/>
      <c r="L44" s="58"/>
      <c r="M44" s="59"/>
      <c r="N44" s="167" t="s">
        <v>184</v>
      </c>
      <c r="O44" s="168" t="s">
        <v>185</v>
      </c>
      <c r="P44" s="169" t="s">
        <v>222</v>
      </c>
    </row>
    <row r="45" spans="2:16" ht="18.75" x14ac:dyDescent="0.25">
      <c r="B45" s="69"/>
      <c r="C45" s="70" t="s">
        <v>223</v>
      </c>
      <c r="D45" s="71"/>
      <c r="E45" s="71"/>
      <c r="F45" s="71"/>
      <c r="G45" s="71"/>
      <c r="H45" s="71"/>
      <c r="I45" s="71"/>
      <c r="J45" s="71"/>
      <c r="K45" s="71"/>
      <c r="L45" s="71"/>
      <c r="M45" s="72"/>
      <c r="N45" s="170"/>
      <c r="O45" s="171"/>
      <c r="P45" s="172"/>
    </row>
    <row r="46" spans="2:16" ht="18.75" x14ac:dyDescent="0.3">
      <c r="B46" s="73"/>
      <c r="C46" s="74"/>
      <c r="D46" s="35" t="str">
        <f>ANNEXURE!C31</f>
        <v xml:space="preserve">GPF  - </v>
      </c>
      <c r="E46" s="1344">
        <f>ANNEXURE!E31</f>
        <v>0</v>
      </c>
      <c r="F46" s="1344"/>
      <c r="G46" s="1344"/>
      <c r="H46" s="1344"/>
      <c r="I46" s="75"/>
      <c r="J46" s="75"/>
      <c r="K46" s="75"/>
      <c r="L46" s="75"/>
      <c r="M46" s="76"/>
      <c r="N46" s="173">
        <f ca="1">ANNEXURE!I31</f>
        <v>0</v>
      </c>
      <c r="O46" s="173">
        <f ca="1">ANNEXURE!J31</f>
        <v>0</v>
      </c>
      <c r="P46" s="182"/>
    </row>
    <row r="47" spans="2:16" ht="18.75" x14ac:dyDescent="0.3">
      <c r="B47" s="73"/>
      <c r="C47" s="74"/>
      <c r="D47" s="35" t="str">
        <f>ANNEXURE!C32</f>
        <v>APGLI    No     (____________________ )</v>
      </c>
      <c r="E47" s="32"/>
      <c r="F47" s="75"/>
      <c r="G47" s="75"/>
      <c r="H47" s="75"/>
      <c r="I47" s="75"/>
      <c r="J47" s="75"/>
      <c r="K47" s="75"/>
      <c r="L47" s="75"/>
      <c r="M47" s="76"/>
      <c r="N47" s="173">
        <f ca="1">ANNEXURE!I32</f>
        <v>0</v>
      </c>
      <c r="O47" s="173">
        <f ca="1">ANNEXURE!J32</f>
        <v>0</v>
      </c>
      <c r="P47" s="183"/>
    </row>
    <row r="48" spans="2:16" ht="18.75" x14ac:dyDescent="0.3">
      <c r="B48" s="73"/>
      <c r="C48" s="74"/>
      <c r="D48" s="35" t="str">
        <f>ANNEXURE!C33</f>
        <v>GIS</v>
      </c>
      <c r="E48" s="32"/>
      <c r="F48" s="75"/>
      <c r="G48" s="75"/>
      <c r="H48" s="75"/>
      <c r="I48" s="75"/>
      <c r="J48" s="75"/>
      <c r="K48" s="75"/>
      <c r="L48" s="75"/>
      <c r="M48" s="76"/>
      <c r="N48" s="173">
        <f ca="1">ANNEXURE!I33</f>
        <v>0</v>
      </c>
      <c r="O48" s="173">
        <f ca="1">ANNEXURE!J33</f>
        <v>0</v>
      </c>
      <c r="P48" s="183"/>
    </row>
    <row r="49" spans="2:16" ht="18.75" x14ac:dyDescent="0.3">
      <c r="B49" s="73"/>
      <c r="C49" s="74"/>
      <c r="D49" s="35" t="str">
        <f>ANNEXURE!C34</f>
        <v xml:space="preserve">Children Tution Fee </v>
      </c>
      <c r="E49" s="32"/>
      <c r="F49" s="75"/>
      <c r="G49" s="75"/>
      <c r="H49" s="75"/>
      <c r="I49" s="75"/>
      <c r="J49" s="75"/>
      <c r="K49" s="75"/>
      <c r="L49" s="75"/>
      <c r="M49" s="76"/>
      <c r="N49" s="173">
        <f ca="1">ANNEXURE!I34</f>
        <v>0</v>
      </c>
      <c r="O49" s="173">
        <f ca="1">ANNEXURE!J34</f>
        <v>0</v>
      </c>
      <c r="P49" s="183"/>
    </row>
    <row r="50" spans="2:16" ht="18.75" x14ac:dyDescent="0.3">
      <c r="B50" s="73"/>
      <c r="C50" s="74"/>
      <c r="D50" s="35" t="str">
        <f>ANNEXURE!C35</f>
        <v>Repayment of Home Loan Premium (principal component)</v>
      </c>
      <c r="E50" s="32"/>
      <c r="F50" s="75"/>
      <c r="G50" s="75"/>
      <c r="H50" s="75"/>
      <c r="I50" s="75"/>
      <c r="J50" s="75"/>
      <c r="K50" s="75"/>
      <c r="L50" s="75"/>
      <c r="M50" s="76"/>
      <c r="N50" s="173">
        <f ca="1">ANNEXURE!I35</f>
        <v>0</v>
      </c>
      <c r="O50" s="173">
        <f ca="1">ANNEXURE!J35</f>
        <v>0</v>
      </c>
      <c r="P50" s="183"/>
    </row>
    <row r="51" spans="2:16" ht="18.75" x14ac:dyDescent="0.3">
      <c r="B51" s="73"/>
      <c r="C51" s="74"/>
      <c r="D51" s="35" t="str">
        <f>ANNEXURE!C36</f>
        <v>National Savings Certificate(NSC)</v>
      </c>
      <c r="E51" s="32"/>
      <c r="F51" s="75"/>
      <c r="G51" s="75"/>
      <c r="H51" s="75"/>
      <c r="I51" s="75"/>
      <c r="J51" s="75"/>
      <c r="K51" s="75"/>
      <c r="L51" s="75"/>
      <c r="M51" s="76"/>
      <c r="N51" s="173">
        <f ca="1">ANNEXURE!I36</f>
        <v>0</v>
      </c>
      <c r="O51" s="173">
        <f ca="1">ANNEXURE!J36</f>
        <v>0</v>
      </c>
      <c r="P51" s="183"/>
    </row>
    <row r="52" spans="2:16" ht="18.75" x14ac:dyDescent="0.3">
      <c r="B52" s="73"/>
      <c r="C52" s="74"/>
      <c r="D52" s="35" t="str">
        <f>ANNEXURE!C37</f>
        <v>LIC Annual Premiums Paid by Hand</v>
      </c>
      <c r="E52" s="32"/>
      <c r="F52" s="75"/>
      <c r="G52" s="75"/>
      <c r="H52" s="75"/>
      <c r="I52" s="75"/>
      <c r="J52" s="75"/>
      <c r="K52" s="75"/>
      <c r="L52" s="75"/>
      <c r="M52" s="76"/>
      <c r="N52" s="173">
        <f ca="1">ANNEXURE!I37</f>
        <v>0</v>
      </c>
      <c r="O52" s="173">
        <f ca="1">ANNEXURE!J37</f>
        <v>0</v>
      </c>
      <c r="P52" s="183"/>
    </row>
    <row r="53" spans="2:16" ht="18.75" x14ac:dyDescent="0.3">
      <c r="B53" s="73"/>
      <c r="C53" s="74"/>
      <c r="D53" s="35" t="str">
        <f>ANNEXURE!C38</f>
        <v>PLI Annual Premuim</v>
      </c>
      <c r="E53" s="32"/>
      <c r="F53" s="75"/>
      <c r="G53" s="75"/>
      <c r="H53" s="75"/>
      <c r="I53" s="75"/>
      <c r="J53" s="75"/>
      <c r="K53" s="75"/>
      <c r="L53" s="75"/>
      <c r="M53" s="76"/>
      <c r="N53" s="173">
        <f ca="1">ANNEXURE!I38</f>
        <v>0</v>
      </c>
      <c r="O53" s="173">
        <f ca="1">ANNEXURE!J38</f>
        <v>0</v>
      </c>
      <c r="P53" s="183"/>
    </row>
    <row r="54" spans="2:16" ht="18.75" x14ac:dyDescent="0.3">
      <c r="B54" s="73"/>
      <c r="C54" s="74"/>
      <c r="D54" s="35" t="str">
        <f>ANNEXURE!C39</f>
        <v>Any other deductable (u/s 80C)</v>
      </c>
      <c r="E54" s="32"/>
      <c r="F54" s="75"/>
      <c r="G54" s="75"/>
      <c r="H54" s="75"/>
      <c r="I54" s="75"/>
      <c r="J54" s="75"/>
      <c r="K54" s="75"/>
      <c r="L54" s="75"/>
      <c r="M54" s="76"/>
      <c r="N54" s="173">
        <f ca="1">ANNEXURE!I39</f>
        <v>0</v>
      </c>
      <c r="O54" s="173">
        <f ca="1">ANNEXURE!J39</f>
        <v>0</v>
      </c>
      <c r="P54" s="183"/>
    </row>
    <row r="55" spans="2:16" ht="12.4" customHeight="1" x14ac:dyDescent="0.3">
      <c r="B55" s="73"/>
      <c r="C55" s="187"/>
      <c r="D55" s="380">
        <f>ANNEXURE!B40</f>
        <v>0</v>
      </c>
      <c r="E55" s="75"/>
      <c r="F55" s="75"/>
      <c r="G55" s="75"/>
      <c r="H55" s="75"/>
      <c r="I55" s="75"/>
      <c r="J55" s="75"/>
      <c r="K55" s="75"/>
      <c r="L55" s="75"/>
      <c r="M55" s="76"/>
      <c r="N55" s="173">
        <f ca="1">ANNEXURE!I40</f>
        <v>0</v>
      </c>
      <c r="O55" s="173">
        <f ca="1">ANNEXURE!J40</f>
        <v>0</v>
      </c>
      <c r="P55" s="183"/>
    </row>
    <row r="56" spans="2:16" ht="16.5" x14ac:dyDescent="0.25">
      <c r="B56" s="77"/>
      <c r="C56" s="1345" t="s">
        <v>330</v>
      </c>
      <c r="D56" s="1346"/>
      <c r="E56" s="1346"/>
      <c r="F56" s="1346"/>
      <c r="G56" s="1346"/>
      <c r="H56" s="1346"/>
      <c r="I56" s="1346"/>
      <c r="J56" s="1347" t="e">
        <f>ANNEXURE!#REF!</f>
        <v>#REF!</v>
      </c>
      <c r="K56" s="1347"/>
      <c r="L56" s="1347"/>
      <c r="M56" s="1348"/>
      <c r="N56" s="173">
        <f ca="1">ANNEXURE!I41</f>
        <v>0</v>
      </c>
      <c r="O56" s="173">
        <f ca="1">ANNEXURE!J41</f>
        <v>0</v>
      </c>
      <c r="P56" s="184"/>
    </row>
    <row r="57" spans="2:16" ht="16.5" x14ac:dyDescent="0.3">
      <c r="B57" s="77"/>
      <c r="C57" s="335"/>
      <c r="D57" s="105"/>
      <c r="E57" s="78"/>
      <c r="F57" s="78"/>
      <c r="G57" s="78"/>
      <c r="H57" s="78"/>
      <c r="I57" s="78"/>
      <c r="J57" s="78"/>
      <c r="K57" s="78"/>
      <c r="L57" s="78"/>
      <c r="M57" s="238" t="s">
        <v>187</v>
      </c>
      <c r="N57" s="173" t="e">
        <f>ANNEXURE!#REF!</f>
        <v>#REF!</v>
      </c>
      <c r="O57" s="173" t="e">
        <f>ANNEXURE!#REF!</f>
        <v>#REF!</v>
      </c>
      <c r="P57" s="173">
        <f ca="1">ANNEXURE!K31</f>
        <v>0</v>
      </c>
    </row>
    <row r="58" spans="2:16" ht="16.5" x14ac:dyDescent="0.25">
      <c r="B58" s="176"/>
      <c r="C58" s="336" t="s">
        <v>329</v>
      </c>
      <c r="D58" s="174"/>
      <c r="E58" s="78"/>
      <c r="F58" s="78"/>
      <c r="G58" s="78"/>
      <c r="H58" s="78"/>
      <c r="I58" s="78"/>
      <c r="J58" s="78"/>
      <c r="K58" s="78"/>
      <c r="L58" s="78"/>
      <c r="M58" s="79"/>
      <c r="N58" s="173">
        <f ca="1">ANNEXURE!I42</f>
        <v>0</v>
      </c>
      <c r="O58" s="173">
        <f ca="1">ANNEXURE!J42</f>
        <v>0</v>
      </c>
      <c r="P58" s="173">
        <f ca="1">ANNEXURE!K42</f>
        <v>0</v>
      </c>
    </row>
  </sheetData>
  <sheetProtection algorithmName="SHA-512" hashValue="+miU9EbRW8rT3b8WWq/U+vlhiG+0weGrQwZZ0YjgW+/E7+QltcsiQA1PuBW2T61YJ3lp56ZqIVppRnwBYv4svg==" saltValue="JWdxuiY+j7miQ03IzxyWiw==" spinCount="100000" sheet="1" objects="1" scenarios="1" formatColumns="0" formatRows="0" autoFilter="0"/>
  <mergeCells count="47">
    <mergeCell ref="R4:U16"/>
    <mergeCell ref="P36:P42"/>
    <mergeCell ref="E46:H46"/>
    <mergeCell ref="C56:I56"/>
    <mergeCell ref="J56:M56"/>
    <mergeCell ref="B11:C11"/>
    <mergeCell ref="D11:G11"/>
    <mergeCell ref="H11:I11"/>
    <mergeCell ref="J11:N11"/>
    <mergeCell ref="B6:I6"/>
    <mergeCell ref="J6:P6"/>
    <mergeCell ref="B7:P7"/>
    <mergeCell ref="B8:E8"/>
    <mergeCell ref="F8:I8"/>
    <mergeCell ref="J8:N8"/>
    <mergeCell ref="O8:P8"/>
    <mergeCell ref="B2:P2"/>
    <mergeCell ref="B3:P3"/>
    <mergeCell ref="B4:I4"/>
    <mergeCell ref="J4:P4"/>
    <mergeCell ref="B5:I5"/>
    <mergeCell ref="J5:P5"/>
    <mergeCell ref="F9:I9"/>
    <mergeCell ref="J9:N9"/>
    <mergeCell ref="O9:P9"/>
    <mergeCell ref="B16:P17"/>
    <mergeCell ref="B10:P10"/>
    <mergeCell ref="B12:C12"/>
    <mergeCell ref="D12:G12"/>
    <mergeCell ref="H12:I12"/>
    <mergeCell ref="J12:M12"/>
    <mergeCell ref="B1:P1"/>
    <mergeCell ref="B18:P18"/>
    <mergeCell ref="N13:N15"/>
    <mergeCell ref="O13:O15"/>
    <mergeCell ref="P13:P15"/>
    <mergeCell ref="B14:C14"/>
    <mergeCell ref="D14:G14"/>
    <mergeCell ref="H14:I14"/>
    <mergeCell ref="B15:C15"/>
    <mergeCell ref="D15:G15"/>
    <mergeCell ref="H15:I15"/>
    <mergeCell ref="B13:C13"/>
    <mergeCell ref="D13:G13"/>
    <mergeCell ref="H13:I13"/>
    <mergeCell ref="J13:M15"/>
    <mergeCell ref="B9:E9"/>
  </mergeCells>
  <conditionalFormatting sqref="B16 B18:P20 C21:P24 B25:P25 C26:P29 B30:P30 C31:P34 B35:P36 C37:O37 C38:N38 O38:O39 C39 N39 B40:O40 C41:O42 B43:P45 C46:D46 I46:O46 C47:C54 F47:M54 D47:D55 N47:O58 E55:M55 M57 P57:P58 D58">
    <cfRule type="containsErrors" dxfId="9" priority="1" stopIfTrue="1">
      <formula>ISERROR(B16)</formula>
    </cfRule>
  </conditionalFormatting>
  <printOptions horizontalCentered="1"/>
  <pageMargins left="0.23622047244094491" right="0.15748031496062992" top="0.27559055118110237" bottom="0.15748031496062992" header="0.31496062992125984" footer="0.19685039370078741"/>
  <pageSetup paperSize="9" scale="91" orientation="portrait" r:id="rId1"/>
  <drawing r:id="rId2"/>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23AB4A64-B978-4F19-BA3D-6D15C387FAE0}">
  <sheetPr codeName="Sheet7">
    <tabColor theme="7" tint="0.59999389629810485"/>
  </sheetPr>
  <dimension ref="A1:Q49"/>
  <sheetViews>
    <sheetView showGridLines="0" topLeftCell="A2" workbookViewId="0">
      <selection activeCell="C8" sqref="C8"/>
    </sheetView>
  </sheetViews>
  <sheetFormatPr defaultColWidth="0" defaultRowHeight="15" x14ac:dyDescent="0.25"/>
  <cols>
    <col min="1" max="1" width="0.42578125" customWidth="1"/>
    <col min="2" max="2" width="3.42578125" customWidth="1"/>
    <col min="3" max="3" width="3.5703125" customWidth="1"/>
    <col min="4" max="4" width="3.85546875" customWidth="1"/>
    <col min="5" max="5" width="10.5703125" customWidth="1"/>
    <col min="6" max="6" width="2.5703125" customWidth="1"/>
    <col min="7" max="7" width="8.5703125" customWidth="1"/>
    <col min="8" max="8" width="6.7109375" customWidth="1"/>
    <col min="9" max="9" width="10.28515625" customWidth="1"/>
    <col min="10" max="10" width="3.42578125" customWidth="1"/>
    <col min="11" max="11" width="2.5703125" customWidth="1"/>
    <col min="12" max="12" width="4.28515625" customWidth="1"/>
    <col min="13" max="13" width="3.5703125" customWidth="1"/>
    <col min="14" max="14" width="11.85546875" customWidth="1"/>
    <col min="15" max="15" width="10.28515625" customWidth="1"/>
    <col min="16" max="16" width="13.140625" customWidth="1"/>
    <col min="17" max="17" width="8.7109375" customWidth="1"/>
    <col min="18" max="16384" width="8.7109375" hidden="1"/>
  </cols>
  <sheetData>
    <row r="1" spans="2:16" ht="3.4" hidden="1" customHeight="1" x14ac:dyDescent="0.25"/>
    <row r="2" spans="2:16" ht="60" x14ac:dyDescent="0.25">
      <c r="B2" s="80" t="s">
        <v>224</v>
      </c>
      <c r="C2" s="81"/>
      <c r="D2" s="82"/>
      <c r="E2" s="83"/>
      <c r="F2" s="83"/>
      <c r="G2" s="83"/>
      <c r="H2" s="83"/>
      <c r="I2" s="83"/>
      <c r="J2" s="83"/>
      <c r="K2" s="32"/>
      <c r="L2" s="32"/>
      <c r="M2" s="84"/>
      <c r="N2" s="85" t="s">
        <v>225</v>
      </c>
      <c r="O2" s="86" t="s">
        <v>226</v>
      </c>
      <c r="P2" s="87" t="s">
        <v>227</v>
      </c>
    </row>
    <row r="3" spans="2:16" ht="16.5" x14ac:dyDescent="0.25">
      <c r="B3" s="88" t="s">
        <v>331</v>
      </c>
      <c r="C3" s="91"/>
      <c r="D3" s="92"/>
      <c r="E3" s="92"/>
      <c r="F3" s="92"/>
      <c r="G3" s="92"/>
      <c r="H3" s="92"/>
      <c r="I3" s="92"/>
      <c r="J3" s="92"/>
      <c r="K3" s="58"/>
      <c r="L3" s="58"/>
      <c r="M3" s="93"/>
      <c r="N3" s="89"/>
      <c r="O3" s="89"/>
      <c r="P3" s="90"/>
    </row>
    <row r="4" spans="2:16" ht="18.75" x14ac:dyDescent="0.3">
      <c r="B4" s="94"/>
      <c r="C4" s="278" t="s">
        <v>639</v>
      </c>
      <c r="D4" s="92"/>
      <c r="E4" s="58"/>
      <c r="F4" s="58"/>
      <c r="G4" s="58"/>
      <c r="H4" s="58"/>
      <c r="I4" s="58"/>
      <c r="J4" s="58"/>
      <c r="K4" s="58"/>
      <c r="L4" s="58"/>
      <c r="M4" s="93"/>
      <c r="N4" s="89">
        <f ca="1">ANNEXURE!I44</f>
        <v>0</v>
      </c>
      <c r="O4" s="89">
        <f ca="1">ANNEXURE!J44</f>
        <v>0</v>
      </c>
      <c r="P4" s="89" t="e">
        <f>ANNEXURE!#REF!</f>
        <v>#REF!</v>
      </c>
    </row>
    <row r="5" spans="2:16" ht="18.75" x14ac:dyDescent="0.3">
      <c r="B5" s="94"/>
      <c r="C5" s="278" t="str">
        <f>ANNEXURE!C45</f>
        <v>80E-Interest on Educational Loan</v>
      </c>
      <c r="D5" s="92"/>
      <c r="E5" s="58"/>
      <c r="F5" s="58"/>
      <c r="G5" s="58"/>
      <c r="H5" s="58"/>
      <c r="I5" s="58"/>
      <c r="J5" s="58"/>
      <c r="K5" s="58"/>
      <c r="L5" s="58"/>
      <c r="M5" s="93"/>
      <c r="N5" s="89">
        <f ca="1">ANNEXURE!I45</f>
        <v>0</v>
      </c>
      <c r="O5" s="89">
        <f ca="1">ANNEXURE!J45</f>
        <v>0</v>
      </c>
      <c r="P5" s="89">
        <f>ANNEXURE!K45</f>
        <v>0</v>
      </c>
    </row>
    <row r="6" spans="2:16" ht="18.75" x14ac:dyDescent="0.3">
      <c r="B6" s="94"/>
      <c r="C6" s="278" t="str">
        <f>ANNEXURE!C46</f>
        <v>80DD-Treatment of Handicapped Dependent-above 80%disability</v>
      </c>
      <c r="D6" s="92"/>
      <c r="E6" s="58"/>
      <c r="F6" s="58"/>
      <c r="G6" s="58"/>
      <c r="H6" s="58"/>
      <c r="I6" s="58"/>
      <c r="J6" s="58"/>
      <c r="K6" s="58"/>
      <c r="L6" s="58"/>
      <c r="M6" s="93"/>
      <c r="N6" s="89">
        <f ca="1">ANNEXURE!I46</f>
        <v>0</v>
      </c>
      <c r="O6" s="89">
        <f ca="1">ANNEXURE!J46</f>
        <v>0</v>
      </c>
      <c r="P6" s="89">
        <f>ANNEXURE!K46</f>
        <v>0</v>
      </c>
    </row>
    <row r="7" spans="2:16" ht="16.5" x14ac:dyDescent="0.3">
      <c r="B7" s="95"/>
      <c r="C7" s="278" t="str">
        <f>ANNEXURE!C47</f>
        <v>80D-Medical Insurance Premium-senior citizen dependent parents</v>
      </c>
      <c r="D7" s="92"/>
      <c r="E7" s="58"/>
      <c r="F7" s="58"/>
      <c r="G7" s="58"/>
      <c r="H7" s="58"/>
      <c r="I7" s="58"/>
      <c r="J7" s="58"/>
      <c r="K7" s="58"/>
      <c r="L7" s="58"/>
      <c r="M7" s="93"/>
      <c r="N7" s="89">
        <f ca="1">ANNEXURE!I47</f>
        <v>0</v>
      </c>
      <c r="O7" s="89">
        <f ca="1">ANNEXURE!J47</f>
        <v>0</v>
      </c>
      <c r="P7" s="89">
        <f>ANNEXURE!K47</f>
        <v>0</v>
      </c>
    </row>
    <row r="8" spans="2:16" ht="16.5" x14ac:dyDescent="0.3">
      <c r="B8" s="95"/>
      <c r="C8" s="278" t="str">
        <f>ANNEXURE!C48</f>
        <v>80TTA-Interest on Savings account</v>
      </c>
      <c r="D8" s="92"/>
      <c r="E8" s="58"/>
      <c r="F8" s="58"/>
      <c r="G8" s="58"/>
      <c r="H8" s="58"/>
      <c r="I8" s="58"/>
      <c r="J8" s="58"/>
      <c r="K8" s="58"/>
      <c r="L8" s="58"/>
      <c r="M8" s="93"/>
      <c r="N8" s="89">
        <f ca="1">ANNEXURE!I48</f>
        <v>0</v>
      </c>
      <c r="O8" s="89">
        <f ca="1">ANNEXURE!J48</f>
        <v>0</v>
      </c>
      <c r="P8" s="89">
        <f>ANNEXURE!K48</f>
        <v>0</v>
      </c>
    </row>
    <row r="9" spans="2:16" ht="16.5" x14ac:dyDescent="0.3">
      <c r="B9" s="95"/>
      <c r="C9" s="278" t="str">
        <f>ANNEXURE!C49</f>
        <v>80D-Medical Insurance Premium-Self ,Spouse &amp; Children</v>
      </c>
      <c r="D9" s="92"/>
      <c r="E9" s="58"/>
      <c r="F9" s="58"/>
      <c r="G9" s="58"/>
      <c r="H9" s="58"/>
      <c r="I9" s="58"/>
      <c r="J9" s="58"/>
      <c r="K9" s="58"/>
      <c r="L9" s="58"/>
      <c r="M9" s="93"/>
      <c r="N9" s="89">
        <f ca="1">ANNEXURE!I49</f>
        <v>0</v>
      </c>
      <c r="O9" s="89">
        <f ca="1">ANNEXURE!J49</f>
        <v>0</v>
      </c>
      <c r="P9" s="89">
        <f>ANNEXURE!K49</f>
        <v>0</v>
      </c>
    </row>
    <row r="10" spans="2:16" ht="16.5" x14ac:dyDescent="0.3">
      <c r="B10" s="95"/>
      <c r="C10" s="278" t="str">
        <f>ANNEXURE!C50</f>
        <v>Employer  Contribution towards NPS 80CCD(2)</v>
      </c>
      <c r="D10" s="92"/>
      <c r="E10" s="58"/>
      <c r="F10" s="58"/>
      <c r="G10" s="58"/>
      <c r="H10" s="58"/>
      <c r="I10" s="58"/>
      <c r="J10" s="58"/>
      <c r="K10" s="58"/>
      <c r="L10" s="58"/>
      <c r="M10" s="93"/>
      <c r="N10" s="89">
        <f ca="1">ANNEXURE!I50</f>
        <v>120776</v>
      </c>
      <c r="O10" s="89">
        <f ca="1">ANNEXURE!J50</f>
        <v>120776</v>
      </c>
      <c r="P10" s="89">
        <f>ANNEXURE!K50</f>
        <v>0</v>
      </c>
    </row>
    <row r="11" spans="2:16" ht="16.5" x14ac:dyDescent="0.3">
      <c r="B11" s="95"/>
      <c r="C11" s="278" t="str">
        <f>ANNEXURE!C51</f>
        <v/>
      </c>
      <c r="D11" s="92"/>
      <c r="E11" s="58"/>
      <c r="F11" s="58"/>
      <c r="G11" s="58"/>
      <c r="H11" s="58"/>
      <c r="I11" s="58"/>
      <c r="J11" s="58"/>
      <c r="K11" s="58"/>
      <c r="L11" s="58"/>
      <c r="M11" s="93"/>
      <c r="N11" s="89">
        <f ca="1">ANNEXURE!I51</f>
        <v>0</v>
      </c>
      <c r="O11" s="89">
        <f ca="1">ANNEXURE!J51</f>
        <v>0</v>
      </c>
      <c r="P11" s="89">
        <f>ANNEXURE!K51</f>
        <v>0</v>
      </c>
    </row>
    <row r="12" spans="2:16" ht="16.5" x14ac:dyDescent="0.3">
      <c r="B12" s="95"/>
      <c r="C12" s="279" t="str">
        <f>ANNEXURE!C52</f>
        <v>Total amount deductible under other provision(s) of 
Chapter VI‐A</v>
      </c>
      <c r="D12" s="92"/>
      <c r="E12" s="58"/>
      <c r="F12" s="58"/>
      <c r="G12" s="58"/>
      <c r="H12" s="58"/>
      <c r="I12" s="58"/>
      <c r="J12" s="58"/>
      <c r="K12" s="58"/>
      <c r="L12" s="58"/>
      <c r="M12" s="93"/>
      <c r="N12" s="89">
        <f ca="1">ANNEXURE!I52</f>
        <v>120776</v>
      </c>
      <c r="O12" s="89">
        <f ca="1">ANNEXURE!J52</f>
        <v>120776</v>
      </c>
      <c r="P12" s="89">
        <f ca="1">ANNEXURE!K43</f>
        <v>120776</v>
      </c>
    </row>
    <row r="13" spans="2:16" ht="16.5" x14ac:dyDescent="0.25">
      <c r="B13" s="60" t="s">
        <v>228</v>
      </c>
      <c r="C13" s="96"/>
      <c r="D13" s="96"/>
      <c r="E13" s="96"/>
      <c r="F13" s="96"/>
      <c r="G13" s="96"/>
      <c r="H13" s="96"/>
      <c r="I13" s="96"/>
      <c r="J13" s="96"/>
      <c r="K13" s="96"/>
      <c r="L13" s="96"/>
      <c r="M13" s="96"/>
      <c r="N13" s="89"/>
      <c r="O13" s="89"/>
      <c r="P13" s="89">
        <f ca="1">ANNEXURE!K53</f>
        <v>120776</v>
      </c>
    </row>
    <row r="14" spans="2:16" ht="16.5" x14ac:dyDescent="0.25">
      <c r="B14" s="55" t="s">
        <v>229</v>
      </c>
      <c r="C14" s="58"/>
      <c r="D14" s="58"/>
      <c r="E14" s="58"/>
      <c r="F14" s="58"/>
      <c r="G14" s="58"/>
      <c r="H14" s="58"/>
      <c r="I14" s="58"/>
      <c r="J14" s="58"/>
      <c r="K14" s="58"/>
      <c r="L14" s="58"/>
      <c r="M14" s="58"/>
      <c r="N14" s="97"/>
      <c r="O14" s="98"/>
      <c r="P14" s="89">
        <f ca="1">ANNEXURE!K54</f>
        <v>1222040</v>
      </c>
    </row>
    <row r="15" spans="2:16" ht="15.75" x14ac:dyDescent="0.25">
      <c r="B15" s="57" t="s">
        <v>230</v>
      </c>
      <c r="C15" s="58"/>
      <c r="D15" s="58"/>
      <c r="E15" s="58"/>
      <c r="F15" s="58"/>
      <c r="G15" s="58"/>
      <c r="H15" s="58"/>
      <c r="I15" s="58"/>
      <c r="J15" s="58"/>
      <c r="K15" s="58"/>
      <c r="L15" s="58"/>
      <c r="M15" s="58"/>
      <c r="N15" s="97"/>
      <c r="O15" s="98"/>
      <c r="P15" s="164">
        <f ca="1">ANNEXURE!K55</f>
        <v>63306</v>
      </c>
    </row>
    <row r="16" spans="2:16" ht="15.75" x14ac:dyDescent="0.25">
      <c r="B16" s="57" t="s">
        <v>231</v>
      </c>
      <c r="C16" s="58"/>
      <c r="D16" s="58"/>
      <c r="E16" s="58"/>
      <c r="F16" s="58"/>
      <c r="G16" s="58"/>
      <c r="H16" s="58"/>
      <c r="I16" s="58"/>
      <c r="J16" s="58"/>
      <c r="K16" s="58"/>
      <c r="L16" s="58"/>
      <c r="M16" s="58"/>
      <c r="N16" s="97"/>
      <c r="O16" s="98"/>
      <c r="P16" s="164">
        <f ca="1">ANNEXURE!K61</f>
        <v>41266</v>
      </c>
    </row>
    <row r="17" spans="2:16" ht="15.75" x14ac:dyDescent="0.25">
      <c r="B17" s="57" t="s">
        <v>232</v>
      </c>
      <c r="C17" s="58"/>
      <c r="D17" s="58"/>
      <c r="E17" s="58"/>
      <c r="F17" s="58"/>
      <c r="G17" s="58"/>
      <c r="H17" s="58"/>
      <c r="I17" s="58"/>
      <c r="J17" s="58"/>
      <c r="K17" s="58"/>
      <c r="L17" s="58"/>
      <c r="M17" s="58"/>
      <c r="N17" s="97"/>
      <c r="O17" s="98"/>
      <c r="P17" s="627">
        <f ca="1">IF(ANNEXURE!AH38=1,SUM(ANNEXURE!P38:P41),SUM(ANNEXURE!P62:P66))</f>
        <v>0</v>
      </c>
    </row>
    <row r="18" spans="2:16" ht="15.75" x14ac:dyDescent="0.25">
      <c r="B18" s="57" t="s">
        <v>233</v>
      </c>
      <c r="C18" s="58"/>
      <c r="D18" s="58"/>
      <c r="E18" s="58"/>
      <c r="F18" s="58"/>
      <c r="G18" s="58"/>
      <c r="H18" s="58"/>
      <c r="I18" s="58"/>
      <c r="J18" s="58"/>
      <c r="K18" s="58"/>
      <c r="L18" s="58"/>
      <c r="M18" s="58"/>
      <c r="N18" s="97"/>
      <c r="O18" s="97"/>
      <c r="P18" s="504">
        <f ca="1">ANNEXURE!K63</f>
        <v>882</v>
      </c>
    </row>
    <row r="19" spans="2:16" ht="16.5" x14ac:dyDescent="0.25">
      <c r="B19" s="60" t="s">
        <v>234</v>
      </c>
      <c r="C19" s="58"/>
      <c r="D19" s="58"/>
      <c r="E19" s="58"/>
      <c r="F19" s="58"/>
      <c r="G19" s="58"/>
      <c r="H19" s="58"/>
      <c r="I19" s="58"/>
      <c r="J19" s="58"/>
      <c r="K19" s="58"/>
      <c r="L19" s="58"/>
      <c r="M19" s="58"/>
      <c r="N19" s="97"/>
      <c r="O19" s="97"/>
      <c r="P19" s="504">
        <f ca="1">SUM(P17:P18,P15)-P16</f>
        <v>22922</v>
      </c>
    </row>
    <row r="20" spans="2:16" ht="15.75" x14ac:dyDescent="0.25">
      <c r="B20" s="57" t="s">
        <v>235</v>
      </c>
      <c r="C20" s="58"/>
      <c r="D20" s="58"/>
      <c r="E20" s="58"/>
      <c r="F20" s="58"/>
      <c r="G20" s="58"/>
      <c r="H20" s="58"/>
      <c r="I20" s="58"/>
      <c r="J20" s="58"/>
      <c r="K20" s="58"/>
      <c r="L20" s="58"/>
      <c r="M20" s="58"/>
      <c r="N20" s="97"/>
      <c r="O20" s="97"/>
      <c r="P20" s="504">
        <f>ANNEXURE!K65</f>
        <v>0</v>
      </c>
    </row>
    <row r="21" spans="2:16" ht="16.5" x14ac:dyDescent="0.25">
      <c r="B21" s="60" t="s">
        <v>236</v>
      </c>
      <c r="C21" s="58"/>
      <c r="D21" s="58"/>
      <c r="E21" s="58"/>
      <c r="F21" s="58"/>
      <c r="G21" s="58"/>
      <c r="H21" s="58"/>
      <c r="I21" s="58"/>
      <c r="J21" s="58"/>
      <c r="K21" s="58"/>
      <c r="L21" s="58"/>
      <c r="M21" s="58"/>
      <c r="N21" s="97"/>
      <c r="O21" s="97"/>
      <c r="P21" s="504">
        <f ca="1">ANNEXURE!K64-ANNEXURE!K65</f>
        <v>22922</v>
      </c>
    </row>
    <row r="22" spans="2:16" ht="15.75" x14ac:dyDescent="0.25">
      <c r="B22" s="57" t="s">
        <v>237</v>
      </c>
      <c r="C22" s="58"/>
      <c r="D22" s="58"/>
      <c r="E22" s="58"/>
      <c r="F22" s="58"/>
      <c r="G22" s="58"/>
      <c r="H22" s="58"/>
      <c r="I22" s="58"/>
      <c r="J22" s="58"/>
      <c r="K22" s="58"/>
      <c r="L22" s="58"/>
      <c r="M22" s="58"/>
      <c r="N22" s="97"/>
      <c r="O22" s="97"/>
      <c r="P22" s="164"/>
    </row>
    <row r="23" spans="2:16" ht="15.75" x14ac:dyDescent="0.25">
      <c r="B23" s="57"/>
      <c r="C23" s="1381" t="s">
        <v>238</v>
      </c>
      <c r="D23" s="1381"/>
      <c r="E23" s="1381"/>
      <c r="F23" s="1381"/>
      <c r="G23" s="1381"/>
      <c r="H23" s="1381"/>
      <c r="I23" s="1381"/>
      <c r="J23" s="1381"/>
      <c r="K23" s="1381"/>
      <c r="L23" s="1381"/>
      <c r="M23" s="1381"/>
      <c r="N23" s="1381"/>
      <c r="O23" s="1382"/>
      <c r="P23" s="505">
        <f>ANNEXURE!K66</f>
        <v>0</v>
      </c>
    </row>
    <row r="24" spans="2:16" ht="16.5" x14ac:dyDescent="0.25">
      <c r="B24" s="60" t="s">
        <v>239</v>
      </c>
      <c r="C24" s="58"/>
      <c r="D24" s="58"/>
      <c r="E24" s="58"/>
      <c r="F24" s="58"/>
      <c r="G24" s="58"/>
      <c r="H24" s="58"/>
      <c r="I24" s="58"/>
      <c r="J24" s="58"/>
      <c r="K24" s="58"/>
      <c r="L24" s="58"/>
      <c r="M24" s="58"/>
      <c r="N24" s="370"/>
      <c r="O24" s="371"/>
      <c r="P24" s="503">
        <f ca="1">ANNEXURE!K70</f>
        <v>22922</v>
      </c>
    </row>
    <row r="25" spans="2:16" ht="1.5" customHeight="1" x14ac:dyDescent="0.25">
      <c r="B25" s="99"/>
      <c r="C25" s="100"/>
      <c r="D25" s="100"/>
      <c r="E25" s="100"/>
      <c r="F25" s="100"/>
      <c r="G25" s="100"/>
      <c r="H25" s="100"/>
      <c r="I25" s="100"/>
      <c r="J25" s="100"/>
      <c r="K25" s="100"/>
      <c r="L25" s="100"/>
      <c r="M25" s="100"/>
      <c r="N25" s="100"/>
      <c r="O25" s="100"/>
      <c r="P25" s="101"/>
    </row>
    <row r="26" spans="2:16" ht="12.4" customHeight="1" x14ac:dyDescent="0.25">
      <c r="B26" s="1383" t="s">
        <v>240</v>
      </c>
      <c r="C26" s="1384"/>
      <c r="D26" s="1384"/>
      <c r="E26" s="1384"/>
      <c r="F26" s="1384"/>
      <c r="G26" s="1384"/>
      <c r="H26" s="1384"/>
      <c r="I26" s="1384"/>
      <c r="J26" s="1384"/>
      <c r="K26" s="1384"/>
      <c r="L26" s="1384"/>
      <c r="M26" s="1384"/>
      <c r="N26" s="1384"/>
      <c r="O26" s="1384"/>
      <c r="P26" s="1385"/>
    </row>
    <row r="27" spans="2:16" ht="13.5" customHeight="1" x14ac:dyDescent="0.25">
      <c r="B27" s="1386" t="s">
        <v>241</v>
      </c>
      <c r="C27" s="1387"/>
      <c r="D27" s="1387"/>
      <c r="E27" s="1387"/>
      <c r="F27" s="1387"/>
      <c r="G27" s="1387"/>
      <c r="H27" s="1387"/>
      <c r="I27" s="1387"/>
      <c r="J27" s="1387"/>
      <c r="K27" s="1387"/>
      <c r="L27" s="1387"/>
      <c r="M27" s="1387"/>
      <c r="N27" s="1387"/>
      <c r="O27" s="1387"/>
      <c r="P27" s="1388"/>
    </row>
    <row r="28" spans="2:16" ht="16.5" x14ac:dyDescent="0.25">
      <c r="B28" s="1389" t="s">
        <v>109</v>
      </c>
      <c r="C28" s="1390" t="s">
        <v>242</v>
      </c>
      <c r="D28" s="1390"/>
      <c r="E28" s="1391" t="s">
        <v>17</v>
      </c>
      <c r="F28" s="1391"/>
      <c r="G28" s="1391"/>
      <c r="H28" s="1392" t="s">
        <v>243</v>
      </c>
      <c r="I28" s="1392"/>
      <c r="J28" s="1391" t="s">
        <v>244</v>
      </c>
      <c r="K28" s="1391"/>
      <c r="L28" s="1391"/>
      <c r="M28" s="1391"/>
      <c r="N28" s="1391"/>
      <c r="O28" s="1391"/>
      <c r="P28" s="1393"/>
    </row>
    <row r="29" spans="2:16" x14ac:dyDescent="0.25">
      <c r="B29" s="1389"/>
      <c r="C29" s="1390"/>
      <c r="D29" s="1390"/>
      <c r="E29" s="1391"/>
      <c r="F29" s="1391"/>
      <c r="G29" s="1391"/>
      <c r="H29" s="1392"/>
      <c r="I29" s="1392"/>
      <c r="J29" s="1394" t="s">
        <v>245</v>
      </c>
      <c r="K29" s="1394"/>
      <c r="L29" s="1394"/>
      <c r="M29" s="1394"/>
      <c r="N29" s="1395" t="s">
        <v>246</v>
      </c>
      <c r="O29" s="1395" t="s">
        <v>247</v>
      </c>
      <c r="P29" s="1396" t="s">
        <v>248</v>
      </c>
    </row>
    <row r="30" spans="2:16" ht="33" x14ac:dyDescent="0.25">
      <c r="B30" s="1389"/>
      <c r="C30" s="1390"/>
      <c r="D30" s="1390"/>
      <c r="E30" s="175" t="s">
        <v>249</v>
      </c>
      <c r="F30" s="1392" t="s">
        <v>250</v>
      </c>
      <c r="G30" s="1392"/>
      <c r="H30" s="1392"/>
      <c r="I30" s="1392"/>
      <c r="J30" s="1394"/>
      <c r="K30" s="1394"/>
      <c r="L30" s="1394"/>
      <c r="M30" s="1394"/>
      <c r="N30" s="1395"/>
      <c r="O30" s="1395"/>
      <c r="P30" s="1396"/>
    </row>
    <row r="31" spans="2:16" ht="15.75" x14ac:dyDescent="0.25">
      <c r="B31" s="177">
        <v>1</v>
      </c>
      <c r="C31" s="1379">
        <v>1</v>
      </c>
      <c r="D31" s="1379"/>
      <c r="E31" s="178" t="str">
        <f>DATA!CH11</f>
        <v>Mar-2025</v>
      </c>
      <c r="F31" s="1364" t="str">
        <f>E32</f>
        <v>Apr-2025</v>
      </c>
      <c r="G31" s="1365"/>
      <c r="H31" s="1366">
        <f>DATA!CE11</f>
        <v>0</v>
      </c>
      <c r="I31" s="1366"/>
      <c r="J31" s="1367"/>
      <c r="K31" s="1367"/>
      <c r="L31" s="1367"/>
      <c r="M31" s="1367"/>
      <c r="N31" s="102"/>
      <c r="O31" s="102"/>
      <c r="P31" s="103"/>
    </row>
    <row r="32" spans="2:16" ht="15.75" x14ac:dyDescent="0.25">
      <c r="B32" s="177">
        <v>2</v>
      </c>
      <c r="C32" s="1379"/>
      <c r="D32" s="1379"/>
      <c r="E32" s="178" t="str">
        <f>DATA!CH12</f>
        <v>Apr-2025</v>
      </c>
      <c r="F32" s="1364" t="str">
        <f t="shared" ref="F32:F41" si="0">E33</f>
        <v>May-2025</v>
      </c>
      <c r="G32" s="1365"/>
      <c r="H32" s="1366">
        <f>DATA!CE12</f>
        <v>0</v>
      </c>
      <c r="I32" s="1366"/>
      <c r="J32" s="1367"/>
      <c r="K32" s="1367"/>
      <c r="L32" s="1367"/>
      <c r="M32" s="1367"/>
      <c r="N32" s="102"/>
      <c r="O32" s="102"/>
      <c r="P32" s="103"/>
    </row>
    <row r="33" spans="2:16" ht="15.75" x14ac:dyDescent="0.25">
      <c r="B33" s="177">
        <v>3</v>
      </c>
      <c r="C33" s="1379"/>
      <c r="D33" s="1379"/>
      <c r="E33" s="178" t="str">
        <f>DATA!CH13</f>
        <v>May-2025</v>
      </c>
      <c r="F33" s="1364" t="str">
        <f t="shared" si="0"/>
        <v>Jun-2025</v>
      </c>
      <c r="G33" s="1365"/>
      <c r="H33" s="1366">
        <f>DATA!CE13</f>
        <v>0</v>
      </c>
      <c r="I33" s="1366"/>
      <c r="J33" s="1367"/>
      <c r="K33" s="1367"/>
      <c r="L33" s="1367"/>
      <c r="M33" s="1367"/>
      <c r="N33" s="102"/>
      <c r="O33" s="102"/>
      <c r="P33" s="103"/>
    </row>
    <row r="34" spans="2:16" ht="15.75" x14ac:dyDescent="0.25">
      <c r="B34" s="177">
        <v>4</v>
      </c>
      <c r="C34" s="1379">
        <v>2</v>
      </c>
      <c r="D34" s="1379"/>
      <c r="E34" s="178" t="str">
        <f>DATA!CH14</f>
        <v>Jun-2025</v>
      </c>
      <c r="F34" s="1364" t="str">
        <f t="shared" si="0"/>
        <v>Jul-2025</v>
      </c>
      <c r="G34" s="1365"/>
      <c r="H34" s="1366">
        <f>DATA!CE14</f>
        <v>0</v>
      </c>
      <c r="I34" s="1366"/>
      <c r="J34" s="1367"/>
      <c r="K34" s="1367"/>
      <c r="L34" s="1367"/>
      <c r="M34" s="1367"/>
      <c r="N34" s="102"/>
      <c r="O34" s="102"/>
      <c r="P34" s="103"/>
    </row>
    <row r="35" spans="2:16" ht="15.75" x14ac:dyDescent="0.25">
      <c r="B35" s="177">
        <v>5</v>
      </c>
      <c r="C35" s="1379"/>
      <c r="D35" s="1379"/>
      <c r="E35" s="178" t="str">
        <f>DATA!CH15</f>
        <v>Jul-2025</v>
      </c>
      <c r="F35" s="1364" t="str">
        <f t="shared" si="0"/>
        <v>Aug-2025</v>
      </c>
      <c r="G35" s="1365"/>
      <c r="H35" s="1366">
        <f>DATA!CE15</f>
        <v>0</v>
      </c>
      <c r="I35" s="1366"/>
      <c r="J35" s="1367"/>
      <c r="K35" s="1367"/>
      <c r="L35" s="1367"/>
      <c r="M35" s="1367"/>
      <c r="N35" s="102"/>
      <c r="O35" s="102"/>
      <c r="P35" s="103"/>
    </row>
    <row r="36" spans="2:16" ht="15.75" x14ac:dyDescent="0.25">
      <c r="B36" s="177">
        <v>6</v>
      </c>
      <c r="C36" s="1379"/>
      <c r="D36" s="1379"/>
      <c r="E36" s="178" t="str">
        <f>DATA!CH16</f>
        <v>Aug-2025</v>
      </c>
      <c r="F36" s="1364" t="str">
        <f t="shared" si="0"/>
        <v>Sep-2025</v>
      </c>
      <c r="G36" s="1365"/>
      <c r="H36" s="1366">
        <f>DATA!CE16</f>
        <v>0</v>
      </c>
      <c r="I36" s="1366"/>
      <c r="J36" s="1367"/>
      <c r="K36" s="1367"/>
      <c r="L36" s="1367"/>
      <c r="M36" s="1367"/>
      <c r="N36" s="102"/>
      <c r="O36" s="102"/>
      <c r="P36" s="103"/>
    </row>
    <row r="37" spans="2:16" ht="15.75" x14ac:dyDescent="0.25">
      <c r="B37" s="177">
        <v>7</v>
      </c>
      <c r="C37" s="1379">
        <v>3</v>
      </c>
      <c r="D37" s="1379"/>
      <c r="E37" s="178" t="str">
        <f>DATA!CH17</f>
        <v>Sep-2025</v>
      </c>
      <c r="F37" s="1364" t="str">
        <f t="shared" si="0"/>
        <v>Oct-2025</v>
      </c>
      <c r="G37" s="1365"/>
      <c r="H37" s="1366">
        <f>DATA!CE17</f>
        <v>0</v>
      </c>
      <c r="I37" s="1366"/>
      <c r="J37" s="1367"/>
      <c r="K37" s="1367"/>
      <c r="L37" s="1367"/>
      <c r="M37" s="1367"/>
      <c r="N37" s="102"/>
      <c r="O37" s="102"/>
      <c r="P37" s="103"/>
    </row>
    <row r="38" spans="2:16" ht="15.75" x14ac:dyDescent="0.25">
      <c r="B38" s="177">
        <v>8</v>
      </c>
      <c r="C38" s="1379"/>
      <c r="D38" s="1379"/>
      <c r="E38" s="178" t="str">
        <f>DATA!CH18</f>
        <v>Oct-2025</v>
      </c>
      <c r="F38" s="1364" t="str">
        <f t="shared" si="0"/>
        <v>Nov-2025</v>
      </c>
      <c r="G38" s="1365"/>
      <c r="H38" s="1366">
        <f>DATA!CE18</f>
        <v>0</v>
      </c>
      <c r="I38" s="1366"/>
      <c r="J38" s="1367"/>
      <c r="K38" s="1367"/>
      <c r="L38" s="1367"/>
      <c r="M38" s="1367"/>
      <c r="N38" s="102"/>
      <c r="O38" s="102"/>
      <c r="P38" s="103"/>
    </row>
    <row r="39" spans="2:16" ht="15.75" x14ac:dyDescent="0.25">
      <c r="B39" s="177">
        <v>9</v>
      </c>
      <c r="C39" s="1379"/>
      <c r="D39" s="1379"/>
      <c r="E39" s="178" t="str">
        <f>DATA!CH19</f>
        <v>Nov-2025</v>
      </c>
      <c r="F39" s="1364" t="str">
        <f t="shared" si="0"/>
        <v>Dec-2025</v>
      </c>
      <c r="G39" s="1365"/>
      <c r="H39" s="1366">
        <f>DATA!CE19</f>
        <v>0</v>
      </c>
      <c r="I39" s="1366"/>
      <c r="J39" s="1367"/>
      <c r="K39" s="1367"/>
      <c r="L39" s="1367"/>
      <c r="M39" s="1367"/>
      <c r="N39" s="102"/>
      <c r="O39" s="102"/>
      <c r="P39" s="103"/>
    </row>
    <row r="40" spans="2:16" ht="15.75" x14ac:dyDescent="0.25">
      <c r="B40" s="177">
        <v>10</v>
      </c>
      <c r="C40" s="1379">
        <v>4</v>
      </c>
      <c r="D40" s="1379"/>
      <c r="E40" s="178" t="str">
        <f>DATA!CH20</f>
        <v>Dec-2025</v>
      </c>
      <c r="F40" s="1364" t="str">
        <f t="shared" si="0"/>
        <v>Jan-2026</v>
      </c>
      <c r="G40" s="1365"/>
      <c r="H40" s="1366">
        <f>DATA!CE20</f>
        <v>0</v>
      </c>
      <c r="I40" s="1366"/>
      <c r="J40" s="1367"/>
      <c r="K40" s="1367"/>
      <c r="L40" s="1367"/>
      <c r="M40" s="1367"/>
      <c r="N40" s="102"/>
      <c r="O40" s="102"/>
      <c r="P40" s="103"/>
    </row>
    <row r="41" spans="2:16" ht="15.75" x14ac:dyDescent="0.25">
      <c r="B41" s="177">
        <v>11</v>
      </c>
      <c r="C41" s="1379"/>
      <c r="D41" s="1379"/>
      <c r="E41" s="178" t="str">
        <f>DATA!CH21</f>
        <v>Jan-2026</v>
      </c>
      <c r="F41" s="1364" t="str">
        <f t="shared" si="0"/>
        <v>Feb-2026</v>
      </c>
      <c r="G41" s="1365"/>
      <c r="H41" s="1366">
        <f>DATA!CE21</f>
        <v>0</v>
      </c>
      <c r="I41" s="1366"/>
      <c r="J41" s="1367"/>
      <c r="K41" s="1367"/>
      <c r="L41" s="1367"/>
      <c r="M41" s="1367"/>
      <c r="N41" s="102"/>
      <c r="O41" s="102"/>
      <c r="P41" s="103"/>
    </row>
    <row r="42" spans="2:16" ht="15.75" x14ac:dyDescent="0.25">
      <c r="B42" s="177">
        <v>12</v>
      </c>
      <c r="C42" s="1379"/>
      <c r="D42" s="1379"/>
      <c r="E42" s="178" t="str">
        <f>DATA!CH22</f>
        <v>Feb-2026</v>
      </c>
      <c r="F42" s="1364" t="str">
        <f>TEXT(EOMONTH(DATA!CG22,1),"MMM-YYYY")</f>
        <v>Mar-2026</v>
      </c>
      <c r="G42" s="1365"/>
      <c r="H42" s="1366">
        <f>DATA!CE22</f>
        <v>0</v>
      </c>
      <c r="I42" s="1366"/>
      <c r="J42" s="1367"/>
      <c r="K42" s="1367"/>
      <c r="L42" s="1367"/>
      <c r="M42" s="1367"/>
      <c r="N42" s="102"/>
      <c r="O42" s="102"/>
      <c r="P42" s="103"/>
    </row>
    <row r="43" spans="2:16" ht="13.5" customHeight="1" x14ac:dyDescent="0.25">
      <c r="B43" s="1368" t="s">
        <v>251</v>
      </c>
      <c r="C43" s="1369"/>
      <c r="D43" s="1369"/>
      <c r="E43" s="1369"/>
      <c r="F43" s="1369"/>
      <c r="G43" s="1369"/>
      <c r="H43" s="1369"/>
      <c r="I43" s="1369"/>
      <c r="J43" s="1369"/>
      <c r="K43" s="1369"/>
      <c r="L43" s="1369"/>
      <c r="M43" s="1369"/>
      <c r="N43" s="1369"/>
      <c r="O43" s="1369"/>
      <c r="P43" s="1370"/>
    </row>
    <row r="44" spans="2:16" x14ac:dyDescent="0.25">
      <c r="B44" s="1371" t="str">
        <f ca="1">"             I, "&amp;IF(DATA!E12="","_______________________",DATA!E12)&amp;" , working in the capacity of "&amp;DATA!E13&amp;"  (designation) do hereby certify that  the  sum  of Rs. "&amp;RS!A16&amp;"/-Rupees in words "&amp;RS!B16&amp;" deducted at source and paid"&amp;" "&amp;"to the credit of the central Government.I further certify that the information given above is true complete and correct and is based on the books of account documents TDS statements and other available records."</f>
        <v xml:space="preserve">             I, _______________________ , working in the capacity of   (designation) do hereby certify that  the  sum  of Rs. 22922/-Rupees in words (Twenty two Thousand Nine Hundred and Twenty two rupees only) deducted at source and paid to the credit of the central Government.I further certify that the information given above is true complete and correct and is based on the books of account documents TDS statements and other available records.</v>
      </c>
      <c r="C44" s="1372"/>
      <c r="D44" s="1372"/>
      <c r="E44" s="1372"/>
      <c r="F44" s="1372"/>
      <c r="G44" s="1372"/>
      <c r="H44" s="1372"/>
      <c r="I44" s="1372"/>
      <c r="J44" s="1372"/>
      <c r="K44" s="1372"/>
      <c r="L44" s="1372"/>
      <c r="M44" s="1372"/>
      <c r="N44" s="1372"/>
      <c r="O44" s="1372"/>
      <c r="P44" s="1373"/>
    </row>
    <row r="45" spans="2:16" ht="63.4" customHeight="1" x14ac:dyDescent="0.25">
      <c r="B45" s="1374"/>
      <c r="C45" s="1375"/>
      <c r="D45" s="1375"/>
      <c r="E45" s="1375"/>
      <c r="F45" s="1375"/>
      <c r="G45" s="1375"/>
      <c r="H45" s="1375"/>
      <c r="I45" s="1375"/>
      <c r="J45" s="1375"/>
      <c r="K45" s="1375"/>
      <c r="L45" s="1375"/>
      <c r="M45" s="1375"/>
      <c r="N45" s="1375"/>
      <c r="O45" s="1375"/>
      <c r="P45" s="1376"/>
    </row>
    <row r="46" spans="2:16" ht="18" customHeight="1" x14ac:dyDescent="0.3">
      <c r="B46" s="104"/>
      <c r="C46" s="105"/>
      <c r="D46" s="105"/>
      <c r="E46" s="106"/>
      <c r="F46" s="106"/>
      <c r="G46" s="106"/>
      <c r="H46" s="106"/>
      <c r="I46" s="106"/>
      <c r="J46" s="106"/>
      <c r="K46" s="106"/>
      <c r="L46" s="106"/>
      <c r="M46" s="106"/>
      <c r="N46" s="106"/>
      <c r="O46" s="106"/>
      <c r="P46" s="107"/>
    </row>
    <row r="47" spans="2:16" ht="15.75" x14ac:dyDescent="0.25">
      <c r="B47" s="70" t="s">
        <v>252</v>
      </c>
      <c r="C47" s="108"/>
      <c r="D47" s="108" t="str">
        <f>DATA!E14&amp;""</f>
        <v/>
      </c>
      <c r="E47" s="108"/>
      <c r="F47" s="108"/>
      <c r="G47" s="108"/>
      <c r="H47" s="108"/>
      <c r="I47" s="108"/>
      <c r="J47" s="1377" t="s">
        <v>253</v>
      </c>
      <c r="K47" s="1377"/>
      <c r="L47" s="1377"/>
      <c r="M47" s="1377"/>
      <c r="N47" s="1377"/>
      <c r="O47" s="1377"/>
      <c r="P47" s="1378"/>
    </row>
    <row r="48" spans="2:16" ht="15.75" x14ac:dyDescent="0.25">
      <c r="B48" s="70" t="s">
        <v>328</v>
      </c>
      <c r="C48" s="108"/>
      <c r="D48" s="1380">
        <f ca="1">TODAY()</f>
        <v>46057</v>
      </c>
      <c r="E48" s="1380"/>
      <c r="F48" s="1380"/>
      <c r="G48" s="1380"/>
      <c r="H48" s="1380"/>
      <c r="I48" s="71"/>
      <c r="J48" s="1360" t="str">
        <f>"Full Name: "&amp;DATA!E12&amp;""</f>
        <v xml:space="preserve">Full Name: </v>
      </c>
      <c r="K48" s="1360"/>
      <c r="L48" s="1360"/>
      <c r="M48" s="1360"/>
      <c r="N48" s="1360"/>
      <c r="O48" s="1360"/>
      <c r="P48" s="1361"/>
    </row>
    <row r="49" spans="2:16" ht="16.5" x14ac:dyDescent="0.25">
      <c r="B49" s="109"/>
      <c r="C49" s="110"/>
      <c r="D49" s="110"/>
      <c r="E49" s="110"/>
      <c r="F49" s="110"/>
      <c r="G49" s="110"/>
      <c r="H49" s="110"/>
      <c r="I49" s="110"/>
      <c r="J49" s="1362" t="str">
        <f>"Designation:"&amp;DATA!E13&amp;""</f>
        <v>Designation:</v>
      </c>
      <c r="K49" s="1362"/>
      <c r="L49" s="1362"/>
      <c r="M49" s="1362"/>
      <c r="N49" s="1362"/>
      <c r="O49" s="1362"/>
      <c r="P49" s="1363"/>
    </row>
  </sheetData>
  <sheetProtection algorithmName="SHA-512" hashValue="f4Q6nKQNKLWA35+hy8tavMrrthYpMAU451BWhsuQjOb00WuO1jBWKX5CkDXIVBciB9BRfe4IpVbzUpyxI4Ki0w==" saltValue="gAHVTKDO/VaF/kIikhQbgg==" spinCount="100000" sheet="1" objects="1" scenarios="1" formatCells="0" formatColumns="0" formatRows="0" autoFilter="0"/>
  <mergeCells count="59">
    <mergeCell ref="C23:O23"/>
    <mergeCell ref="B26:P26"/>
    <mergeCell ref="B27:P27"/>
    <mergeCell ref="B28:B30"/>
    <mergeCell ref="C28:D30"/>
    <mergeCell ref="E28:G29"/>
    <mergeCell ref="H28:I30"/>
    <mergeCell ref="J28:P28"/>
    <mergeCell ref="J29:M30"/>
    <mergeCell ref="N29:N30"/>
    <mergeCell ref="O29:O30"/>
    <mergeCell ref="P29:P30"/>
    <mergeCell ref="F30:G30"/>
    <mergeCell ref="C31:D33"/>
    <mergeCell ref="F31:G31"/>
    <mergeCell ref="H31:I31"/>
    <mergeCell ref="J31:M31"/>
    <mergeCell ref="F32:G32"/>
    <mergeCell ref="H32:I32"/>
    <mergeCell ref="J32:M32"/>
    <mergeCell ref="F33:G33"/>
    <mergeCell ref="H33:I33"/>
    <mergeCell ref="J33:M33"/>
    <mergeCell ref="C34:D36"/>
    <mergeCell ref="F34:G34"/>
    <mergeCell ref="H34:I34"/>
    <mergeCell ref="J34:M34"/>
    <mergeCell ref="F35:G35"/>
    <mergeCell ref="H35:I35"/>
    <mergeCell ref="J35:M35"/>
    <mergeCell ref="F36:G36"/>
    <mergeCell ref="H36:I36"/>
    <mergeCell ref="J36:M36"/>
    <mergeCell ref="C37:D39"/>
    <mergeCell ref="F37:G37"/>
    <mergeCell ref="H37:I37"/>
    <mergeCell ref="J37:M37"/>
    <mergeCell ref="F38:G38"/>
    <mergeCell ref="H38:I38"/>
    <mergeCell ref="J38:M38"/>
    <mergeCell ref="F39:G39"/>
    <mergeCell ref="H39:I39"/>
    <mergeCell ref="J39:M39"/>
    <mergeCell ref="J48:P48"/>
    <mergeCell ref="J49:P49"/>
    <mergeCell ref="F42:G42"/>
    <mergeCell ref="H42:I42"/>
    <mergeCell ref="J42:M42"/>
    <mergeCell ref="B43:P43"/>
    <mergeCell ref="B44:P45"/>
    <mergeCell ref="J47:P47"/>
    <mergeCell ref="C40:D42"/>
    <mergeCell ref="F40:G40"/>
    <mergeCell ref="H40:I40"/>
    <mergeCell ref="J40:M40"/>
    <mergeCell ref="F41:G41"/>
    <mergeCell ref="H41:I41"/>
    <mergeCell ref="J41:M41"/>
    <mergeCell ref="D48:H48"/>
  </mergeCells>
  <conditionalFormatting sqref="B13 D13:M13 D14:O22 B14:C24 D24:O24 B25:B27 B28:C28 E28 H28 J28:J29 N29:P29 C31 N31:P31 B31:B42 H31:H42 C34 N34:P34 C37 N37:P37 C40 N40:P40 B43:P45">
    <cfRule type="containsErrors" dxfId="8" priority="2" stopIfTrue="1">
      <formula>ISERROR(B13)</formula>
    </cfRule>
  </conditionalFormatting>
  <conditionalFormatting sqref="C2:C3 N2:P13 M3:M12 P14:P24">
    <cfRule type="containsErrors" dxfId="7" priority="1" stopIfTrue="1">
      <formula>ISERROR(C2)</formula>
    </cfRule>
  </conditionalFormatting>
  <printOptions horizontalCentered="1"/>
  <pageMargins left="0.25" right="0.25" top="0.32" bottom="0.22" header="0.3" footer="0.3"/>
  <pageSetup paperSize="9" scale="95" orientation="portrait" r:id="rId1"/>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47344287-4523-4E67-98B3-7DCCBE288D28}">
  <sheetPr codeName="Sheet9">
    <tabColor rgb="FF92D050"/>
  </sheetPr>
  <dimension ref="A1:Q24"/>
  <sheetViews>
    <sheetView showGridLines="0" topLeftCell="A2" workbookViewId="0">
      <selection activeCell="C3" sqref="C3"/>
    </sheetView>
  </sheetViews>
  <sheetFormatPr defaultColWidth="0" defaultRowHeight="15" x14ac:dyDescent="0.25"/>
  <cols>
    <col min="1" max="1" width="1.42578125" customWidth="1"/>
    <col min="2" max="2" width="2.28515625" customWidth="1"/>
    <col min="3" max="3" width="6.7109375" customWidth="1"/>
    <col min="4" max="4" width="5.28515625" customWidth="1"/>
    <col min="5" max="5" width="11.28515625" customWidth="1"/>
    <col min="6" max="6" width="12.28515625" customWidth="1"/>
    <col min="7" max="7" width="6.42578125" customWidth="1"/>
    <col min="8" max="8" width="11.85546875" customWidth="1"/>
    <col min="9" max="9" width="11.5703125" customWidth="1"/>
    <col min="10" max="10" width="5.5703125" customWidth="1"/>
    <col min="11" max="11" width="11.85546875" customWidth="1"/>
    <col min="12" max="14" width="9.28515625" customWidth="1"/>
    <col min="15" max="15" width="12.42578125" hidden="1" customWidth="1"/>
    <col min="16" max="16" width="12" hidden="1" customWidth="1"/>
    <col min="17" max="16384" width="9.28515625" hidden="1"/>
  </cols>
  <sheetData>
    <row r="1" spans="2:17" ht="15" hidden="1" customHeight="1" x14ac:dyDescent="0.25"/>
    <row r="2" spans="2:17" ht="16.899999999999999" customHeight="1" x14ac:dyDescent="0.25">
      <c r="B2" s="353"/>
      <c r="C2" s="354"/>
      <c r="D2" s="355" t="s">
        <v>540</v>
      </c>
      <c r="E2" s="351" t="s">
        <v>541</v>
      </c>
      <c r="F2" s="358"/>
      <c r="G2" s="1399" t="s">
        <v>542</v>
      </c>
      <c r="H2" s="1399"/>
      <c r="I2" s="360" t="s">
        <v>658</v>
      </c>
      <c r="J2" s="352" t="s">
        <v>81</v>
      </c>
      <c r="K2" s="360" t="s">
        <v>689</v>
      </c>
      <c r="O2" s="356" t="e">
        <f>INDEX(DATA!$CD$11:$CD$22,MATCH(I2,_MONTHS,0),0)</f>
        <v>#N/A</v>
      </c>
      <c r="P2" s="356" t="e">
        <f>INDEX(DATA!$CD$11:$CD$22,MATCH(K2,_MONTHS,0),0)</f>
        <v>#N/A</v>
      </c>
      <c r="Q2" s="357" t="str">
        <f>IF(OR(F2="",I2="",K2=""),"",DATEDIF(O2,P2,"m")+1)</f>
        <v/>
      </c>
    </row>
    <row r="3" spans="2:17" ht="18" customHeight="1" x14ac:dyDescent="0.3">
      <c r="C3" s="630" t="str">
        <f ca="1">IF(O3=2,"No need to submission of Rent receipt in new tax regime","")</f>
        <v>No need to submission of Rent receipt in new tax regime</v>
      </c>
      <c r="O3">
        <f ca="1">ANNEXURE!AH38</f>
        <v>2</v>
      </c>
    </row>
    <row r="4" spans="2:17" ht="28.5" customHeight="1" x14ac:dyDescent="0.25">
      <c r="B4" s="1403" t="s">
        <v>332</v>
      </c>
      <c r="C4" s="1404"/>
      <c r="D4" s="1404"/>
      <c r="E4" s="1404"/>
      <c r="F4" s="1404"/>
      <c r="G4" s="1404"/>
      <c r="H4" s="1404"/>
      <c r="I4" s="1404"/>
      <c r="J4" s="1404"/>
      <c r="K4" s="1405"/>
      <c r="O4" t="e">
        <f>TEXT(O2,"MMM/YYYY")</f>
        <v>#N/A</v>
      </c>
      <c r="P4" t="e">
        <f>TEXT(P2,"MMM/YYYY")</f>
        <v>#N/A</v>
      </c>
      <c r="Q4">
        <f>IF(Q2="",0,F2*Q2)</f>
        <v>0</v>
      </c>
    </row>
    <row r="5" spans="2:17" ht="15.75" x14ac:dyDescent="0.25">
      <c r="B5" s="1406" t="s">
        <v>333</v>
      </c>
      <c r="C5" s="1407"/>
      <c r="D5" s="1407"/>
      <c r="E5" s="1407"/>
      <c r="F5" s="1407"/>
      <c r="G5" s="1407"/>
      <c r="H5" s="1407"/>
      <c r="I5" s="1407"/>
      <c r="J5" s="1407"/>
      <c r="K5" s="1408"/>
      <c r="O5" t="str">
        <f>TEXT(DATA!CD11,"MMM/YYYY")</f>
        <v>Mar/2025</v>
      </c>
      <c r="P5" t="str">
        <f>TEXT(DATA!CD22,"MMM/YYYY")</f>
        <v>Feb/2026</v>
      </c>
    </row>
    <row r="6" spans="2:17" ht="91.9" customHeight="1" x14ac:dyDescent="0.25">
      <c r="B6" s="188"/>
      <c r="C6" s="1409" t="str">
        <f>"               This is to certify that "&amp;Sections!G2&amp;" , has paid for "&amp;IF(Q2="",ANNEXURE!P17,Q2)&amp;" Months an amount of  (House Rent Annual amount) Rs."&amp;IF(Q2="",ANNEXURE!P18,Q4)&amp;"/- "&amp;IF(Q2="",RS!B17,RS!B19)&amp;" towards my housing accommodation  at "&amp;IF(DATA!M47="","__________________________",DATA!M47)&amp;"  on  rent  @ "&amp;IF(Q2="",ANNEXURE!O20,F2)&amp;"/-  per month during the period of "&amp;IF(Q2="",O5,O4)&amp;" to "&amp;IF(Q2="",P5,P4)</f>
        <v xml:space="preserve">               This is to certify that Sri/Smt xyz   SA Maths , has paid for 12 Months an amount of  (House Rent Annual amount) Rs.0/- (Zero rupees only) towards my housing accommodation  at __________________________  on  rent  @ 0/-  per month during the period of Mar/2025 to Feb/2026</v>
      </c>
      <c r="D6" s="1409"/>
      <c r="E6" s="1409"/>
      <c r="F6" s="1409"/>
      <c r="G6" s="1409"/>
      <c r="H6" s="1409"/>
      <c r="I6" s="1409"/>
      <c r="J6" s="1409"/>
      <c r="K6" s="1410"/>
    </row>
    <row r="7" spans="2:17" ht="10.5" customHeight="1" x14ac:dyDescent="0.25">
      <c r="B7" s="189"/>
      <c r="C7" s="190"/>
      <c r="D7" s="190"/>
      <c r="E7" s="190"/>
      <c r="F7" s="190"/>
      <c r="G7" s="190"/>
      <c r="H7" s="190"/>
      <c r="I7" s="190"/>
      <c r="J7" s="190"/>
      <c r="K7" s="191"/>
    </row>
    <row r="8" spans="2:17" ht="24" customHeight="1" x14ac:dyDescent="0.25">
      <c r="B8" s="192"/>
      <c r="C8" s="1400" t="s">
        <v>543</v>
      </c>
      <c r="D8" s="1400"/>
      <c r="E8" s="1400"/>
      <c r="F8" s="1400"/>
      <c r="G8" s="1400"/>
      <c r="H8" s="1401" t="str">
        <f>IF(DATA!O45="","",DATA!O45)</f>
        <v/>
      </c>
      <c r="I8" s="1401"/>
      <c r="J8" s="1401"/>
      <c r="K8" s="1402"/>
    </row>
    <row r="9" spans="2:17" ht="21.4" customHeight="1" x14ac:dyDescent="0.25">
      <c r="B9" s="189"/>
      <c r="C9" s="190"/>
      <c r="D9" s="190"/>
      <c r="E9" s="190"/>
      <c r="F9" s="190"/>
      <c r="G9" s="190"/>
      <c r="H9" s="190"/>
      <c r="I9" s="190"/>
      <c r="J9" s="190"/>
      <c r="K9" s="191"/>
      <c r="Q9" s="4"/>
    </row>
    <row r="10" spans="2:17" ht="15.75" x14ac:dyDescent="0.25">
      <c r="B10" s="189"/>
      <c r="C10" s="193"/>
      <c r="D10" s="194"/>
      <c r="E10" s="154"/>
      <c r="F10" s="154"/>
      <c r="G10" s="154"/>
      <c r="H10" s="154"/>
      <c r="I10" s="154"/>
      <c r="J10" s="154"/>
      <c r="K10" s="195"/>
      <c r="P10" s="4"/>
      <c r="Q10" s="4"/>
    </row>
    <row r="11" spans="2:17" ht="15.75" x14ac:dyDescent="0.25">
      <c r="B11" s="196" t="s">
        <v>334</v>
      </c>
      <c r="C11" s="193"/>
      <c r="D11" s="194"/>
      <c r="E11" s="154"/>
      <c r="F11" s="154"/>
      <c r="G11" s="154"/>
      <c r="H11" s="154"/>
      <c r="I11" s="154"/>
      <c r="J11" s="154"/>
      <c r="K11" s="195"/>
    </row>
    <row r="12" spans="2:17" ht="15.75" x14ac:dyDescent="0.25">
      <c r="B12" s="189"/>
      <c r="C12" s="349" t="s">
        <v>328</v>
      </c>
      <c r="D12" s="1411"/>
      <c r="E12" s="1411"/>
      <c r="F12" s="1411"/>
      <c r="G12" s="154"/>
      <c r="H12" s="197" t="s">
        <v>335</v>
      </c>
      <c r="I12" s="154"/>
      <c r="J12" s="154"/>
      <c r="K12" s="301"/>
    </row>
    <row r="13" spans="2:17" ht="15.75" x14ac:dyDescent="0.25">
      <c r="B13" s="189"/>
      <c r="C13" s="349" t="s">
        <v>336</v>
      </c>
      <c r="D13" s="1411"/>
      <c r="E13" s="1411"/>
      <c r="F13" s="1411"/>
      <c r="G13" s="154"/>
      <c r="H13" s="733" t="str">
        <f>"Name:"</f>
        <v>Name:</v>
      </c>
      <c r="I13" s="1412" t="str">
        <f>DATA!M46&amp;""</f>
        <v/>
      </c>
      <c r="J13" s="1412"/>
      <c r="K13" s="1413"/>
    </row>
    <row r="14" spans="2:17" ht="15.75" x14ac:dyDescent="0.25">
      <c r="B14" s="192"/>
      <c r="C14" s="350"/>
      <c r="D14" s="350"/>
      <c r="E14" s="350"/>
      <c r="F14" s="350"/>
      <c r="G14" s="350"/>
      <c r="H14" s="350"/>
      <c r="I14" s="350"/>
      <c r="J14" s="350"/>
      <c r="K14" s="198"/>
    </row>
    <row r="15" spans="2:17" ht="15.75" x14ac:dyDescent="0.25">
      <c r="B15" s="192"/>
      <c r="C15" s="350"/>
      <c r="D15" s="350"/>
      <c r="E15" s="350"/>
      <c r="F15" s="350"/>
      <c r="G15" s="350"/>
      <c r="H15" s="350"/>
      <c r="I15" s="350"/>
      <c r="J15" s="350"/>
      <c r="K15" s="199"/>
    </row>
    <row r="16" spans="2:17" ht="15.75" x14ac:dyDescent="0.25">
      <c r="B16" s="192"/>
      <c r="C16" s="350"/>
      <c r="D16" s="350"/>
      <c r="E16" s="350"/>
      <c r="F16" s="350"/>
      <c r="G16" s="350"/>
      <c r="H16" s="350"/>
      <c r="I16" s="350"/>
      <c r="J16" s="350"/>
      <c r="K16" s="200"/>
    </row>
    <row r="17" spans="2:11" ht="15.75" x14ac:dyDescent="0.25">
      <c r="B17" s="192"/>
      <c r="C17" s="350"/>
      <c r="D17" s="350"/>
      <c r="E17" s="350"/>
      <c r="F17" s="350"/>
      <c r="G17" s="350"/>
      <c r="H17" s="350"/>
      <c r="I17" s="350"/>
      <c r="J17" s="350"/>
      <c r="K17" s="200"/>
    </row>
    <row r="18" spans="2:11" ht="19.149999999999999" customHeight="1" x14ac:dyDescent="0.25">
      <c r="B18" s="201"/>
      <c r="C18" s="1397" t="str">
        <f>"I ,"&amp;DATA!E5&amp;",do hereby declare that what is stated above is true to the best of my knowledge and belief and nothing has been concealed."</f>
        <v>I ,xyz,do hereby declare that what is stated above is true to the best of my knowledge and belief and nothing has been concealed.</v>
      </c>
      <c r="D18" s="1397"/>
      <c r="E18" s="1397"/>
      <c r="F18" s="1397"/>
      <c r="G18" s="1397"/>
      <c r="H18" s="1397"/>
      <c r="I18" s="1397"/>
      <c r="J18" s="1397"/>
      <c r="K18" s="1398"/>
    </row>
    <row r="19" spans="2:11" ht="25.15" customHeight="1" x14ac:dyDescent="0.25">
      <c r="B19" s="201"/>
      <c r="C19" s="1397"/>
      <c r="D19" s="1397"/>
      <c r="E19" s="1397"/>
      <c r="F19" s="1397"/>
      <c r="G19" s="1397"/>
      <c r="H19" s="1397"/>
      <c r="I19" s="1397"/>
      <c r="J19" s="1397"/>
      <c r="K19" s="1398"/>
    </row>
    <row r="20" spans="2:11" ht="15.75" x14ac:dyDescent="0.25">
      <c r="B20" s="192"/>
      <c r="C20" s="350"/>
      <c r="D20" s="350"/>
      <c r="E20" s="350"/>
      <c r="F20" s="350"/>
      <c r="G20" s="350"/>
      <c r="H20" s="350"/>
      <c r="I20" s="350"/>
      <c r="J20" s="350"/>
      <c r="K20" s="200"/>
    </row>
    <row r="21" spans="2:11" ht="19.5" customHeight="1" x14ac:dyDescent="0.25">
      <c r="B21" s="192"/>
      <c r="C21" s="350"/>
      <c r="D21" s="350"/>
      <c r="E21" s="350"/>
      <c r="F21" s="350"/>
      <c r="G21" s="350"/>
      <c r="H21" s="350"/>
      <c r="I21" s="350"/>
      <c r="J21" s="350"/>
      <c r="K21" s="200"/>
    </row>
    <row r="22" spans="2:11" ht="15.75" x14ac:dyDescent="0.25">
      <c r="B22" s="192"/>
      <c r="C22" s="350"/>
      <c r="D22" s="350"/>
      <c r="E22" s="350"/>
      <c r="F22" s="350"/>
      <c r="G22" s="350"/>
      <c r="H22" s="200" t="s">
        <v>337</v>
      </c>
      <c r="I22" s="350"/>
      <c r="J22" s="350"/>
      <c r="K22" s="301"/>
    </row>
    <row r="23" spans="2:11" ht="15.75" x14ac:dyDescent="0.25">
      <c r="B23" s="192"/>
      <c r="C23" s="350"/>
      <c r="D23" s="350"/>
      <c r="E23" s="350"/>
      <c r="F23" s="350"/>
      <c r="G23" s="350"/>
      <c r="H23" s="348" t="str">
        <f>" "&amp;DATA!E5&amp;""</f>
        <v xml:space="preserve"> xyz</v>
      </c>
      <c r="I23" s="350"/>
      <c r="J23" s="350"/>
      <c r="K23" s="301"/>
    </row>
    <row r="24" spans="2:11" ht="25.15" customHeight="1" x14ac:dyDescent="0.25">
      <c r="B24" s="202"/>
      <c r="C24" s="203"/>
      <c r="D24" s="203"/>
      <c r="E24" s="203"/>
      <c r="F24" s="203"/>
      <c r="G24" s="203"/>
      <c r="H24" s="203"/>
      <c r="I24" s="203"/>
      <c r="J24" s="203"/>
      <c r="K24" s="204"/>
    </row>
  </sheetData>
  <sheetProtection algorithmName="SHA-512" hashValue="UJhXH/8OR6dL9W09wqSWUqum9F1awSup8XuLt5AeNbGAf1aDqLKydNAheMYb9717zOi+54GG7s2B69lZ74rBaA==" saltValue="2tVMl8QxrwJQ2cKLYtNlgA==" spinCount="100000" sheet="1" objects="1" scenarios="1" formatCells="0" formatColumns="0" formatRows="0" autoFilter="0"/>
  <mergeCells count="10">
    <mergeCell ref="C18:K19"/>
    <mergeCell ref="G2:H2"/>
    <mergeCell ref="C8:G8"/>
    <mergeCell ref="H8:K8"/>
    <mergeCell ref="B4:K4"/>
    <mergeCell ref="B5:K5"/>
    <mergeCell ref="C6:K6"/>
    <mergeCell ref="D12:F12"/>
    <mergeCell ref="D13:F13"/>
    <mergeCell ref="I13:K13"/>
  </mergeCells>
  <conditionalFormatting sqref="B2:K2 B4:K12 B13:I13 B14:K24">
    <cfRule type="expression" dxfId="6" priority="1">
      <formula>$O$3=2</formula>
    </cfRule>
  </conditionalFormatting>
  <conditionalFormatting sqref="B4:K5 B6:C6 B7:K7 B8:C8 H8 B9:K11 G12:J12 B12:D13 G13:H13 B14:K21 B22:J23 B24:K24">
    <cfRule type="expression" dxfId="5" priority="3" stopIfTrue="1">
      <formula>$HU$4=1</formula>
    </cfRule>
    <cfRule type="expression" dxfId="4" priority="4" stopIfTrue="1">
      <formula>$HY$13=1</formula>
    </cfRule>
  </conditionalFormatting>
  <conditionalFormatting sqref="B4:K7 B8:C8 H8 B9:K11 G12:J12 B12:D13 G13:H13 B14:K21 B22:J23">
    <cfRule type="expression" dxfId="3" priority="2">
      <formula>$N$3=2</formula>
    </cfRule>
  </conditionalFormatting>
  <dataValidations count="1">
    <dataValidation type="list" allowBlank="1" showInputMessage="1" showErrorMessage="1" sqref="I2 K2" xr:uid="{5DBC33DE-B981-4889-BA51-3271071BCC9C}">
      <formula1>_MONTHS</formula1>
    </dataValidation>
  </dataValidations>
  <printOptions horizontalCentered="1"/>
  <pageMargins left="0.23622047244094491" right="0.23622047244094491" top="0.74803149606299213" bottom="0.74803149606299213" header="0.31496062992125984" footer="0.31496062992125984"/>
  <pageSetup paperSize="9" orientation="portrait" r:id="rId1"/>
</worksheet>
</file>

<file path=xl/worksheets/sheet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2F489FDF-EB7B-4830-9872-74D1BB926E9F}">
  <sheetPr codeName="Sheet12">
    <tabColor rgb="FF92D050"/>
  </sheetPr>
  <dimension ref="A1:GQ84"/>
  <sheetViews>
    <sheetView showGridLines="0" zoomScaleNormal="100" workbookViewId="0">
      <selection sqref="A1:I1"/>
    </sheetView>
  </sheetViews>
  <sheetFormatPr defaultColWidth="5.85546875" defaultRowHeight="15" x14ac:dyDescent="0.25"/>
  <cols>
    <col min="1" max="1" width="3.5703125" customWidth="1"/>
    <col min="2" max="2" width="3.7109375" customWidth="1"/>
    <col min="3" max="3" width="4.28515625" customWidth="1"/>
    <col min="4" max="4" width="12.5703125" customWidth="1"/>
    <col min="5" max="5" width="14.7109375" customWidth="1"/>
    <col min="6" max="6" width="15.7109375" customWidth="1"/>
    <col min="7" max="7" width="10.28515625" customWidth="1"/>
    <col min="8" max="8" width="8.85546875" customWidth="1"/>
    <col min="9" max="9" width="14.7109375" customWidth="1"/>
    <col min="10" max="10" width="1.28515625" customWidth="1"/>
    <col min="11" max="11" width="10.28515625" customWidth="1"/>
    <col min="12" max="13" width="9.42578125" customWidth="1"/>
    <col min="14" max="14" width="10.7109375" customWidth="1"/>
    <col min="15" max="15" width="10.140625" hidden="1" customWidth="1"/>
    <col min="16" max="16" width="7.7109375" hidden="1" customWidth="1"/>
    <col min="17" max="17" width="14.85546875" hidden="1" customWidth="1"/>
    <col min="18" max="36" width="9.7109375" hidden="1" customWidth="1"/>
    <col min="37" max="37" width="13.28515625" hidden="1" customWidth="1"/>
    <col min="38" max="109" width="9.7109375" hidden="1" customWidth="1"/>
    <col min="110" max="110" width="5.85546875" hidden="1" customWidth="1"/>
    <col min="111" max="111" width="8.7109375" hidden="1" customWidth="1"/>
    <col min="112" max="112" width="11.7109375" hidden="1" customWidth="1"/>
    <col min="113" max="113" width="13.42578125" hidden="1" customWidth="1"/>
    <col min="114" max="199" width="5.85546875" hidden="1" customWidth="1"/>
    <col min="200" max="16378" width="5.85546875" customWidth="1"/>
  </cols>
  <sheetData>
    <row r="1" spans="1:13" ht="45" customHeight="1" x14ac:dyDescent="0.25">
      <c r="A1" s="1434" t="s">
        <v>655</v>
      </c>
      <c r="B1" s="1435"/>
      <c r="C1" s="1435"/>
      <c r="D1" s="1435"/>
      <c r="E1" s="1435"/>
      <c r="F1" s="1435"/>
      <c r="G1" s="1435"/>
      <c r="H1" s="1435"/>
      <c r="I1" s="1436"/>
    </row>
    <row r="2" spans="1:13" ht="4.1500000000000004" customHeight="1" x14ac:dyDescent="0.25">
      <c r="A2" s="501"/>
      <c r="I2" s="502"/>
      <c r="M2" t="str">
        <f>DATA!E56</f>
        <v>No</v>
      </c>
    </row>
    <row r="3" spans="1:13" ht="19.149999999999999" customHeight="1" x14ac:dyDescent="0.25">
      <c r="A3" s="1465" t="s">
        <v>475</v>
      </c>
      <c r="B3" s="1466"/>
      <c r="C3" s="1466"/>
      <c r="D3" s="1466"/>
      <c r="E3" s="1466"/>
      <c r="F3" s="1466"/>
      <c r="G3" s="1466"/>
      <c r="H3" s="1466"/>
      <c r="I3" s="1467"/>
    </row>
    <row r="4" spans="1:13" ht="15.4" customHeight="1" x14ac:dyDescent="0.25">
      <c r="A4" s="1468" t="s">
        <v>476</v>
      </c>
      <c r="B4" s="1469"/>
      <c r="C4" s="1469"/>
      <c r="D4" s="1469"/>
      <c r="E4" s="1469"/>
      <c r="F4" s="1469"/>
      <c r="G4" s="1469"/>
      <c r="H4" s="1469"/>
      <c r="I4" s="1470"/>
    </row>
    <row r="5" spans="1:13" ht="19.899999999999999" customHeight="1" x14ac:dyDescent="0.25">
      <c r="A5" s="282">
        <v>1</v>
      </c>
      <c r="B5" s="283" t="s">
        <v>477</v>
      </c>
      <c r="C5" s="283"/>
      <c r="D5" s="283"/>
      <c r="E5" s="283"/>
      <c r="F5" s="284" t="str">
        <f>DATA!D5&amp;" ,"&amp;DATA!E5&amp;""</f>
        <v>Sri/Smt ,xyz</v>
      </c>
      <c r="G5" s="284"/>
      <c r="H5" s="284"/>
      <c r="I5" s="285"/>
    </row>
    <row r="6" spans="1:13" ht="19.899999999999999" customHeight="1" x14ac:dyDescent="0.25">
      <c r="A6" s="282">
        <v>2</v>
      </c>
      <c r="B6" s="283" t="s">
        <v>478</v>
      </c>
      <c r="C6" s="283"/>
      <c r="D6" s="283"/>
      <c r="E6" s="283"/>
      <c r="F6" s="284" t="str">
        <f>DATA!E8&amp;" "</f>
        <v xml:space="preserve">XXX </v>
      </c>
      <c r="G6" s="284"/>
      <c r="H6" s="284"/>
      <c r="I6" s="285"/>
    </row>
    <row r="7" spans="1:13" ht="25.5" customHeight="1" x14ac:dyDescent="0.25">
      <c r="A7" s="282">
        <v>3</v>
      </c>
      <c r="B7" s="283" t="s">
        <v>479</v>
      </c>
      <c r="C7" s="283"/>
      <c r="D7" s="283"/>
      <c r="E7" s="283"/>
      <c r="F7" s="284" t="s">
        <v>480</v>
      </c>
      <c r="G7" s="284"/>
      <c r="H7" s="284"/>
      <c r="I7" s="285"/>
    </row>
    <row r="8" spans="1:13" ht="52.5" customHeight="1" x14ac:dyDescent="0.25">
      <c r="A8" s="286"/>
      <c r="B8" s="1471" t="str">
        <f>"Particulars of income referred to in rule 21A of the Income Tax rules, 1962,during the previous year relevant to Assessment year "&amp;DATA!CI4</f>
        <v>Particulars of income referred to in rule 21A of the Income Tax rules, 1962,during the previous year relevant to Assessment year 2026-2027</v>
      </c>
      <c r="C8" s="1471"/>
      <c r="D8" s="1471"/>
      <c r="E8" s="1471"/>
      <c r="F8" s="1471"/>
      <c r="G8" s="1471"/>
      <c r="H8" s="1471"/>
      <c r="I8" s="1472"/>
    </row>
    <row r="9" spans="1:13" ht="21.4" customHeight="1" x14ac:dyDescent="0.25">
      <c r="A9" s="287">
        <v>1</v>
      </c>
      <c r="B9" s="288" t="s">
        <v>481</v>
      </c>
      <c r="C9" s="1473" t="s">
        <v>482</v>
      </c>
      <c r="D9" s="1473"/>
      <c r="E9" s="1473"/>
      <c r="F9" s="1473"/>
      <c r="G9" s="1473"/>
      <c r="H9" s="291" t="s">
        <v>483</v>
      </c>
      <c r="I9" s="378">
        <f>E77</f>
        <v>0</v>
      </c>
    </row>
    <row r="10" spans="1:13" ht="13.5" customHeight="1" x14ac:dyDescent="0.25">
      <c r="A10" s="287"/>
      <c r="B10" s="288"/>
      <c r="C10" s="1473"/>
      <c r="D10" s="1473"/>
      <c r="E10" s="1473"/>
      <c r="F10" s="1473"/>
      <c r="G10" s="1473"/>
      <c r="H10" s="327"/>
      <c r="I10" s="328"/>
    </row>
    <row r="11" spans="1:13" ht="7.5" customHeight="1" x14ac:dyDescent="0.25">
      <c r="A11" s="287"/>
      <c r="B11" s="288"/>
      <c r="C11" s="329"/>
      <c r="D11" s="329"/>
      <c r="E11" s="329"/>
      <c r="F11" s="329"/>
      <c r="G11" s="330"/>
      <c r="H11" s="327"/>
      <c r="I11" s="328"/>
    </row>
    <row r="12" spans="1:13" ht="21" customHeight="1" x14ac:dyDescent="0.25">
      <c r="A12" s="287"/>
      <c r="B12" s="288" t="s">
        <v>484</v>
      </c>
      <c r="C12" s="1473" t="s">
        <v>485</v>
      </c>
      <c r="D12" s="1473"/>
      <c r="E12" s="1473"/>
      <c r="F12" s="1473"/>
      <c r="G12" s="1473"/>
      <c r="H12" s="327" t="s">
        <v>483</v>
      </c>
      <c r="I12" s="328" t="s">
        <v>486</v>
      </c>
    </row>
    <row r="13" spans="1:13" ht="21" customHeight="1" x14ac:dyDescent="0.25">
      <c r="A13" s="287"/>
      <c r="B13" s="288"/>
      <c r="C13" s="1473"/>
      <c r="D13" s="1473"/>
      <c r="E13" s="1473"/>
      <c r="F13" s="1473"/>
      <c r="G13" s="1473"/>
      <c r="H13" s="327"/>
      <c r="I13" s="328"/>
    </row>
    <row r="14" spans="1:13" ht="21" customHeight="1" x14ac:dyDescent="0.25">
      <c r="A14" s="287"/>
      <c r="B14" s="288"/>
      <c r="C14" s="1473"/>
      <c r="D14" s="1473"/>
      <c r="E14" s="1473"/>
      <c r="F14" s="1473"/>
      <c r="G14" s="1473"/>
      <c r="H14" s="327"/>
      <c r="I14" s="328"/>
    </row>
    <row r="15" spans="1:13" ht="8.65" customHeight="1" x14ac:dyDescent="0.25">
      <c r="A15" s="287"/>
      <c r="B15" s="288"/>
      <c r="C15" s="329"/>
      <c r="D15" s="329"/>
      <c r="E15" s="329"/>
      <c r="F15" s="329"/>
      <c r="G15" s="330"/>
      <c r="H15" s="327"/>
      <c r="I15" s="328"/>
    </row>
    <row r="16" spans="1:13" ht="21.4" customHeight="1" x14ac:dyDescent="0.25">
      <c r="A16" s="287"/>
      <c r="B16" s="288" t="s">
        <v>487</v>
      </c>
      <c r="C16" s="1473" t="s">
        <v>488</v>
      </c>
      <c r="D16" s="1473"/>
      <c r="E16" s="1473"/>
      <c r="F16" s="1473"/>
      <c r="G16" s="1473"/>
      <c r="H16" s="327" t="s">
        <v>483</v>
      </c>
      <c r="I16" s="328" t="s">
        <v>486</v>
      </c>
    </row>
    <row r="17" spans="1:9" x14ac:dyDescent="0.25">
      <c r="A17" s="287"/>
      <c r="B17" s="288"/>
      <c r="C17" s="1473"/>
      <c r="D17" s="1473"/>
      <c r="E17" s="1473"/>
      <c r="F17" s="1473"/>
      <c r="G17" s="1473"/>
      <c r="H17" s="327"/>
      <c r="I17" s="328"/>
    </row>
    <row r="18" spans="1:9" x14ac:dyDescent="0.25">
      <c r="A18" s="287"/>
      <c r="B18" s="288"/>
      <c r="C18" s="1473"/>
      <c r="D18" s="1473"/>
      <c r="E18" s="1473"/>
      <c r="F18" s="1473"/>
      <c r="G18" s="1473"/>
      <c r="H18" s="327"/>
      <c r="I18" s="328"/>
    </row>
    <row r="19" spans="1:9" ht="22.15" customHeight="1" x14ac:dyDescent="0.25">
      <c r="A19" s="287"/>
      <c r="B19" s="288"/>
      <c r="C19" s="1473"/>
      <c r="D19" s="1473"/>
      <c r="E19" s="1473"/>
      <c r="F19" s="1473"/>
      <c r="G19" s="1473"/>
      <c r="H19" s="327"/>
      <c r="I19" s="328"/>
    </row>
    <row r="20" spans="1:9" ht="33" customHeight="1" x14ac:dyDescent="0.25">
      <c r="A20" s="287"/>
      <c r="B20" s="288"/>
      <c r="C20" s="1473"/>
      <c r="D20" s="1473"/>
      <c r="E20" s="1473"/>
      <c r="F20" s="1473"/>
      <c r="G20" s="1473"/>
      <c r="H20" s="327"/>
      <c r="I20" s="328"/>
    </row>
    <row r="21" spans="1:9" x14ac:dyDescent="0.25">
      <c r="A21" s="287"/>
      <c r="B21" s="288"/>
      <c r="C21" s="329"/>
      <c r="D21" s="329"/>
      <c r="E21" s="329"/>
      <c r="F21" s="329"/>
      <c r="G21" s="330"/>
      <c r="H21" s="327"/>
      <c r="I21" s="328"/>
    </row>
    <row r="22" spans="1:9" ht="23.65" customHeight="1" x14ac:dyDescent="0.25">
      <c r="A22" s="287"/>
      <c r="B22" s="288" t="s">
        <v>489</v>
      </c>
      <c r="C22" s="1473" t="s">
        <v>490</v>
      </c>
      <c r="D22" s="1473"/>
      <c r="E22" s="1473"/>
      <c r="F22" s="1473"/>
      <c r="G22" s="1473"/>
      <c r="H22" s="327" t="s">
        <v>483</v>
      </c>
      <c r="I22" s="328" t="s">
        <v>486</v>
      </c>
    </row>
    <row r="23" spans="1:9" ht="15" customHeight="1" x14ac:dyDescent="0.25">
      <c r="A23" s="287"/>
      <c r="B23" s="288"/>
      <c r="C23" s="1473"/>
      <c r="D23" s="1473"/>
      <c r="E23" s="1473"/>
      <c r="F23" s="1473"/>
      <c r="G23" s="1473"/>
      <c r="I23" s="328"/>
    </row>
    <row r="24" spans="1:9" x14ac:dyDescent="0.25">
      <c r="A24" s="287"/>
      <c r="B24" s="288"/>
      <c r="C24" s="288"/>
      <c r="D24" s="288"/>
      <c r="E24" s="288"/>
      <c r="F24" s="288"/>
      <c r="G24" s="288"/>
      <c r="I24" s="328"/>
    </row>
    <row r="25" spans="1:9" ht="22.9" customHeight="1" x14ac:dyDescent="0.25">
      <c r="A25" s="287">
        <v>2</v>
      </c>
      <c r="B25" s="288"/>
      <c r="C25" s="1443" t="s">
        <v>491</v>
      </c>
      <c r="D25" s="1443"/>
      <c r="E25" s="1443"/>
      <c r="F25" s="1443"/>
      <c r="G25" s="1443"/>
      <c r="I25" s="328" t="s">
        <v>492</v>
      </c>
    </row>
    <row r="26" spans="1:9" ht="36" customHeight="1" x14ac:dyDescent="0.25">
      <c r="A26" s="289"/>
      <c r="B26" s="288"/>
      <c r="C26" s="1443"/>
      <c r="D26" s="1443"/>
      <c r="E26" s="1443"/>
      <c r="F26" s="1443"/>
      <c r="G26" s="1443"/>
      <c r="I26" s="321"/>
    </row>
    <row r="27" spans="1:9" ht="19.149999999999999" customHeight="1" x14ac:dyDescent="0.25">
      <c r="A27" s="289"/>
      <c r="B27" s="288"/>
      <c r="C27" s="288"/>
      <c r="D27" s="288"/>
      <c r="E27" s="288"/>
      <c r="F27" s="288"/>
      <c r="G27" s="288"/>
      <c r="I27" s="290"/>
    </row>
    <row r="28" spans="1:9" x14ac:dyDescent="0.25">
      <c r="A28" s="289"/>
      <c r="B28" s="288"/>
      <c r="C28" s="288"/>
      <c r="D28" s="288"/>
      <c r="E28" s="288"/>
      <c r="F28" s="1474" t="s">
        <v>337</v>
      </c>
      <c r="G28" s="1474"/>
      <c r="H28" s="1474"/>
      <c r="I28" s="1475"/>
    </row>
    <row r="29" spans="1:9" x14ac:dyDescent="0.25">
      <c r="A29" s="289"/>
      <c r="B29" s="288"/>
      <c r="C29" s="288"/>
      <c r="D29" s="288"/>
      <c r="E29" s="288"/>
      <c r="F29" s="291"/>
      <c r="G29" s="291"/>
      <c r="H29" s="291"/>
      <c r="I29" s="292"/>
    </row>
    <row r="30" spans="1:9" x14ac:dyDescent="0.25">
      <c r="A30" s="289"/>
      <c r="B30" s="288"/>
      <c r="C30" s="288"/>
      <c r="D30" s="288"/>
      <c r="E30" s="288"/>
      <c r="F30" s="291"/>
      <c r="G30" s="291"/>
      <c r="H30" s="291"/>
      <c r="I30" s="292"/>
    </row>
    <row r="31" spans="1:9" x14ac:dyDescent="0.25">
      <c r="A31" s="1476" t="s">
        <v>251</v>
      </c>
      <c r="B31" s="1477"/>
      <c r="C31" s="1477"/>
      <c r="D31" s="1477"/>
      <c r="E31" s="1477"/>
      <c r="F31" s="1477"/>
      <c r="G31" s="1477"/>
      <c r="H31" s="1477"/>
      <c r="I31" s="1478"/>
    </row>
    <row r="32" spans="1:9" x14ac:dyDescent="0.25">
      <c r="A32" s="289"/>
      <c r="B32" s="288"/>
      <c r="C32" s="288"/>
      <c r="D32" s="288"/>
      <c r="E32" s="288"/>
      <c r="F32" s="288"/>
      <c r="G32" s="288"/>
      <c r="H32" s="288"/>
      <c r="I32" s="290"/>
    </row>
    <row r="33" spans="1:13" ht="14.65" customHeight="1" x14ac:dyDescent="0.25">
      <c r="A33" s="1442" t="s">
        <v>528</v>
      </c>
      <c r="B33" s="1443"/>
      <c r="C33" s="1443"/>
      <c r="D33" s="1443"/>
      <c r="E33" s="1443"/>
      <c r="F33" s="1443"/>
      <c r="G33" s="1443"/>
      <c r="H33" s="1443"/>
      <c r="I33" s="1444"/>
    </row>
    <row r="34" spans="1:13" ht="18" customHeight="1" x14ac:dyDescent="0.25">
      <c r="A34" s="1442"/>
      <c r="B34" s="1443"/>
      <c r="C34" s="1443"/>
      <c r="D34" s="1443"/>
      <c r="E34" s="1443"/>
      <c r="F34" s="1443"/>
      <c r="G34" s="1443"/>
      <c r="H34" s="1443"/>
      <c r="I34" s="1444"/>
    </row>
    <row r="35" spans="1:13" ht="7.9" customHeight="1" x14ac:dyDescent="0.25">
      <c r="A35" s="289"/>
      <c r="B35" s="288"/>
      <c r="C35" s="288"/>
      <c r="D35" s="288"/>
      <c r="E35" s="288"/>
      <c r="F35" s="288"/>
      <c r="G35" s="288"/>
      <c r="H35" s="288"/>
      <c r="I35" s="290"/>
    </row>
    <row r="36" spans="1:13" x14ac:dyDescent="0.25">
      <c r="A36" s="1442" t="s">
        <v>493</v>
      </c>
      <c r="B36" s="1443"/>
      <c r="C36" s="1443"/>
      <c r="D36" s="1443"/>
      <c r="E36" s="288"/>
      <c r="F36" s="288"/>
      <c r="G36" s="288"/>
      <c r="H36" s="288"/>
      <c r="I36" s="290"/>
    </row>
    <row r="37" spans="1:13" ht="19.5" customHeight="1" x14ac:dyDescent="0.25">
      <c r="A37" s="289"/>
      <c r="B37" s="288"/>
      <c r="C37" s="288"/>
      <c r="D37" s="288"/>
      <c r="E37" s="288"/>
      <c r="F37" s="288"/>
      <c r="G37" s="288"/>
      <c r="H37" s="288"/>
      <c r="I37" s="290"/>
    </row>
    <row r="38" spans="1:13" x14ac:dyDescent="0.25">
      <c r="A38" s="293"/>
      <c r="B38" s="375"/>
      <c r="C38" s="375"/>
      <c r="D38" s="375"/>
      <c r="E38" s="288"/>
      <c r="F38" s="288"/>
      <c r="G38" s="288"/>
      <c r="H38" s="288"/>
      <c r="I38" s="290"/>
    </row>
    <row r="39" spans="1:13" ht="22.5" customHeight="1" x14ac:dyDescent="0.25">
      <c r="A39" s="294" t="s">
        <v>494</v>
      </c>
      <c r="B39" s="375"/>
      <c r="C39" s="375"/>
      <c r="D39" s="376" t="s">
        <v>170</v>
      </c>
      <c r="E39" s="288"/>
      <c r="F39" s="1474" t="s">
        <v>337</v>
      </c>
      <c r="G39" s="1474"/>
      <c r="H39" s="1474"/>
      <c r="I39" s="1475"/>
    </row>
    <row r="40" spans="1:13" ht="14.65" customHeight="1" x14ac:dyDescent="0.25">
      <c r="A40" s="294" t="s">
        <v>495</v>
      </c>
      <c r="B40" s="375"/>
      <c r="C40" s="375"/>
      <c r="D40" s="1441"/>
      <c r="E40" s="1441"/>
      <c r="I40" s="301"/>
    </row>
    <row r="41" spans="1:13" x14ac:dyDescent="0.25">
      <c r="A41" s="295"/>
      <c r="B41" s="377"/>
      <c r="C41" s="377"/>
      <c r="D41" s="377"/>
      <c r="E41" s="377"/>
      <c r="F41" s="377"/>
      <c r="G41" s="377"/>
      <c r="H41" s="377"/>
      <c r="I41" s="296"/>
    </row>
    <row r="42" spans="1:13" ht="34.15" customHeight="1" x14ac:dyDescent="0.25">
      <c r="A42" s="947"/>
      <c r="B42" s="948"/>
      <c r="C42" s="948"/>
      <c r="D42" s="948"/>
      <c r="E42" s="948"/>
      <c r="F42" s="948"/>
      <c r="G42" s="948"/>
      <c r="H42" s="948"/>
      <c r="I42" s="949"/>
    </row>
    <row r="43" spans="1:13" ht="6" customHeight="1" x14ac:dyDescent="0.25">
      <c r="A43" s="297"/>
      <c r="B43" s="297"/>
      <c r="C43" s="297"/>
      <c r="D43" s="297"/>
      <c r="E43" s="297"/>
      <c r="F43" s="297"/>
      <c r="G43" s="297"/>
      <c r="H43" s="297"/>
      <c r="I43" s="297"/>
    </row>
    <row r="44" spans="1:13" ht="19.5" customHeight="1" x14ac:dyDescent="0.3">
      <c r="A44" s="1479" t="s">
        <v>492</v>
      </c>
      <c r="B44" s="1480"/>
      <c r="C44" s="1480"/>
      <c r="D44" s="1480"/>
      <c r="E44" s="1480"/>
      <c r="F44" s="1480"/>
      <c r="G44" s="1480"/>
      <c r="H44" s="1480"/>
      <c r="I44" s="1481"/>
    </row>
    <row r="45" spans="1:13" ht="16.149999999999999" customHeight="1" x14ac:dyDescent="0.25">
      <c r="A45" s="1482" t="s">
        <v>496</v>
      </c>
      <c r="B45" s="1483"/>
      <c r="C45" s="1483"/>
      <c r="D45" s="1483"/>
      <c r="E45" s="1483"/>
      <c r="F45" s="1483"/>
      <c r="G45" s="1483"/>
      <c r="H45" s="1483"/>
      <c r="I45" s="1484"/>
    </row>
    <row r="46" spans="1:13" ht="18" customHeight="1" x14ac:dyDescent="0.25">
      <c r="A46" s="1485" t="s">
        <v>497</v>
      </c>
      <c r="B46" s="1485"/>
      <c r="C46" s="1485"/>
      <c r="D46" s="1485"/>
      <c r="E46" s="1485"/>
      <c r="F46" s="1485"/>
      <c r="G46" s="1485"/>
      <c r="H46" s="1485"/>
      <c r="I46" s="1485"/>
    </row>
    <row r="47" spans="1:13" ht="24" customHeight="1" x14ac:dyDescent="0.25">
      <c r="A47" s="337">
        <v>1</v>
      </c>
      <c r="B47" s="1445" t="s">
        <v>642</v>
      </c>
      <c r="C47" s="1446"/>
      <c r="D47" s="1446"/>
      <c r="E47" s="1446"/>
      <c r="F47" s="1446"/>
      <c r="G47" s="1447"/>
      <c r="H47" s="339" t="s">
        <v>483</v>
      </c>
      <c r="I47" s="340">
        <f ca="1">I49-I48</f>
        <v>1222040</v>
      </c>
    </row>
    <row r="48" spans="1:13" ht="23.65" customHeight="1" x14ac:dyDescent="0.25">
      <c r="A48" s="337">
        <v>2</v>
      </c>
      <c r="B48" s="1445" t="s">
        <v>498</v>
      </c>
      <c r="C48" s="1446"/>
      <c r="D48" s="1446"/>
      <c r="E48" s="1446"/>
      <c r="F48" s="1446"/>
      <c r="G48" s="1447"/>
      <c r="H48" s="339" t="s">
        <v>483</v>
      </c>
      <c r="I48" s="340">
        <f>E77</f>
        <v>0</v>
      </c>
      <c r="M48" s="149"/>
    </row>
    <row r="49" spans="1:113" ht="34.15" customHeight="1" x14ac:dyDescent="0.25">
      <c r="A49" s="337">
        <v>3</v>
      </c>
      <c r="B49" s="1445" t="s">
        <v>499</v>
      </c>
      <c r="C49" s="1446"/>
      <c r="D49" s="1446"/>
      <c r="E49" s="1446"/>
      <c r="F49" s="1446"/>
      <c r="G49" s="1447"/>
      <c r="H49" s="339" t="s">
        <v>483</v>
      </c>
      <c r="I49" s="340">
        <f ca="1">ANNEXURE!K54</f>
        <v>1222040</v>
      </c>
    </row>
    <row r="50" spans="1:113" ht="18.399999999999999" customHeight="1" x14ac:dyDescent="0.25">
      <c r="A50" s="337">
        <v>4</v>
      </c>
      <c r="B50" s="1445" t="s">
        <v>500</v>
      </c>
      <c r="C50" s="1446"/>
      <c r="D50" s="1446"/>
      <c r="E50" s="1446"/>
      <c r="F50" s="1446"/>
      <c r="G50" s="1447"/>
      <c r="H50" s="339" t="s">
        <v>483</v>
      </c>
      <c r="I50" s="340">
        <f ca="1">ANNEXURE!K64</f>
        <v>22922</v>
      </c>
      <c r="K50" s="749" t="str">
        <f ca="1">"&gt;&gt;As per "&amp;ANNEXURE!$AH$37</f>
        <v>&gt;&gt;As per New Regime</v>
      </c>
      <c r="L50" s="750"/>
      <c r="M50" s="751"/>
    </row>
    <row r="51" spans="1:113" ht="18.399999999999999" customHeight="1" x14ac:dyDescent="0.25">
      <c r="A51" s="337">
        <v>5</v>
      </c>
      <c r="B51" s="1445" t="s">
        <v>501</v>
      </c>
      <c r="C51" s="1446"/>
      <c r="D51" s="1446"/>
      <c r="E51" s="1446"/>
      <c r="F51" s="1446"/>
      <c r="G51" s="1447"/>
      <c r="H51" s="339" t="s">
        <v>483</v>
      </c>
      <c r="I51" s="340">
        <f ca="1">IF(ANNEXURE!$AH$38=1,'Slabs RATES'!R34,'Slabs RATES'!M37)</f>
        <v>65838</v>
      </c>
      <c r="K51" s="749" t="str">
        <f ca="1">"&gt;&gt;As per "&amp;ANNEXURE!$AH$37</f>
        <v>&gt;&gt;As per New Regime</v>
      </c>
      <c r="L51" s="750"/>
      <c r="M51" s="751"/>
    </row>
    <row r="52" spans="1:113" ht="21.4" customHeight="1" x14ac:dyDescent="0.25">
      <c r="A52" s="341">
        <v>6</v>
      </c>
      <c r="B52" s="1448" t="s">
        <v>502</v>
      </c>
      <c r="C52" s="1449"/>
      <c r="D52" s="1449"/>
      <c r="E52" s="1449"/>
      <c r="F52" s="1449"/>
      <c r="G52" s="1450"/>
      <c r="H52" s="342" t="s">
        <v>483</v>
      </c>
      <c r="I52" s="343">
        <f ca="1">I50-I51</f>
        <v>-42916</v>
      </c>
    </row>
    <row r="53" spans="1:113" ht="16.899999999999999" customHeight="1" x14ac:dyDescent="0.25">
      <c r="A53" s="344"/>
      <c r="B53" s="1451" t="s">
        <v>503</v>
      </c>
      <c r="C53" s="1452"/>
      <c r="D53" s="1452"/>
      <c r="E53" s="1452"/>
      <c r="F53" s="1452"/>
      <c r="G53" s="1453"/>
      <c r="H53" s="345"/>
      <c r="I53" s="346"/>
    </row>
    <row r="54" spans="1:113" ht="17.649999999999999" customHeight="1" x14ac:dyDescent="0.25">
      <c r="A54" s="341">
        <v>7</v>
      </c>
      <c r="B54" s="1448" t="s">
        <v>504</v>
      </c>
      <c r="C54" s="1449"/>
      <c r="D54" s="1449"/>
      <c r="E54" s="1449"/>
      <c r="F54" s="1449"/>
      <c r="G54" s="1450"/>
      <c r="H54" s="342" t="s">
        <v>483</v>
      </c>
      <c r="I54" s="343">
        <f>MAX(0,I77)</f>
        <v>0</v>
      </c>
    </row>
    <row r="55" spans="1:113" ht="17.649999999999999" customHeight="1" x14ac:dyDescent="0.25">
      <c r="A55" s="344"/>
      <c r="B55" s="1451" t="s">
        <v>505</v>
      </c>
      <c r="C55" s="1452"/>
      <c r="D55" s="1452"/>
      <c r="E55" s="1452"/>
      <c r="F55" s="1452"/>
      <c r="G55" s="1453"/>
      <c r="H55" s="345"/>
      <c r="I55" s="346"/>
    </row>
    <row r="56" spans="1:113" ht="23.65" customHeight="1" x14ac:dyDescent="0.25">
      <c r="A56" s="338">
        <v>8</v>
      </c>
      <c r="B56" s="1462" t="s">
        <v>506</v>
      </c>
      <c r="C56" s="1463"/>
      <c r="D56" s="1463"/>
      <c r="E56" s="1463"/>
      <c r="F56" s="1463"/>
      <c r="G56" s="1464"/>
      <c r="H56" s="339" t="s">
        <v>483</v>
      </c>
      <c r="I56" s="340">
        <f>IF(OR(DATA!E56="No",DATA!E56=""),0,IF(SUM(I52-I54)&gt;=0,SUM(I52-I54),0))</f>
        <v>0</v>
      </c>
    </row>
    <row r="57" spans="1:113" ht="2.4500000000000002" customHeight="1" x14ac:dyDescent="0.25">
      <c r="A57" s="298"/>
      <c r="B57" s="299"/>
      <c r="C57" s="299"/>
      <c r="D57" s="299"/>
      <c r="E57" s="299"/>
      <c r="F57" s="299"/>
      <c r="G57" s="299"/>
      <c r="H57" s="299"/>
      <c r="I57" s="320"/>
    </row>
    <row r="58" spans="1:113" ht="2.4500000000000002" customHeight="1" x14ac:dyDescent="0.25">
      <c r="A58" s="300"/>
      <c r="B58" s="297"/>
      <c r="C58" s="297"/>
      <c r="D58" s="297"/>
      <c r="E58" s="297"/>
      <c r="F58" s="297"/>
      <c r="G58" s="297"/>
      <c r="H58" s="297"/>
      <c r="I58" s="320"/>
    </row>
    <row r="59" spans="1:113" ht="13.9" customHeight="1" thickBot="1" x14ac:dyDescent="0.3">
      <c r="A59" s="1454" t="s">
        <v>507</v>
      </c>
      <c r="B59" s="1455"/>
      <c r="C59" s="1455"/>
      <c r="D59" s="1455"/>
      <c r="E59" s="1455"/>
      <c r="F59" s="1455"/>
      <c r="G59" s="1455"/>
      <c r="H59" s="1455"/>
      <c r="I59" s="1456"/>
    </row>
    <row r="60" spans="1:113" ht="17.45" customHeight="1" thickBot="1" x14ac:dyDescent="0.3">
      <c r="A60" s="1457" t="s">
        <v>508</v>
      </c>
      <c r="B60" s="1458"/>
      <c r="C60" s="1458"/>
      <c r="D60" s="1458"/>
      <c r="E60" s="1458"/>
      <c r="F60" s="1458"/>
      <c r="G60" s="1458"/>
      <c r="H60" s="1458"/>
      <c r="I60" s="1459"/>
      <c r="P60" s="946" t="s">
        <v>781</v>
      </c>
      <c r="BK60" s="1487" t="s">
        <v>899</v>
      </c>
      <c r="BL60" s="1488"/>
      <c r="BM60" s="1488"/>
      <c r="BN60" s="1488"/>
      <c r="BO60" s="1488"/>
      <c r="BP60" s="1488"/>
      <c r="BQ60" s="1488"/>
      <c r="BR60" s="1488"/>
      <c r="BS60" s="1488"/>
      <c r="BT60" s="1488"/>
      <c r="BU60" s="1488"/>
      <c r="BV60" s="1488"/>
      <c r="BW60" s="1488"/>
      <c r="BX60" s="1488"/>
      <c r="BY60" s="1488"/>
      <c r="BZ60" s="1488"/>
      <c r="CA60" s="1488"/>
      <c r="CB60" s="1488"/>
      <c r="CC60" s="1488"/>
      <c r="CD60" s="1488"/>
      <c r="CE60" s="1488"/>
      <c r="CF60" s="1489"/>
      <c r="CJ60" s="1487" t="s">
        <v>1002</v>
      </c>
      <c r="CK60" s="1488"/>
      <c r="CL60" s="1488"/>
      <c r="CM60" s="1488"/>
      <c r="CN60" s="1488"/>
      <c r="CO60" s="1488"/>
      <c r="CP60" s="1488"/>
      <c r="CQ60" s="1488"/>
      <c r="CR60" s="1488"/>
      <c r="CS60" s="1488"/>
      <c r="CT60" s="1488"/>
      <c r="CU60" s="1488"/>
      <c r="CV60" s="1488"/>
      <c r="CW60" s="1488"/>
      <c r="CX60" s="1488"/>
      <c r="CY60" s="1488"/>
      <c r="CZ60" s="1488"/>
      <c r="DA60" s="1488"/>
      <c r="DB60" s="1488"/>
      <c r="DC60" s="1488"/>
      <c r="DD60" s="1488"/>
      <c r="DE60" s="1489"/>
      <c r="DG60" s="1486" t="str">
        <f>DATA!E3</f>
        <v>General (less than 60 years)</v>
      </c>
      <c r="DH60" s="1486"/>
      <c r="DI60" s="709">
        <f>ANNEXURE!AI44</f>
        <v>1</v>
      </c>
    </row>
    <row r="61" spans="1:113" ht="108" customHeight="1" thickBot="1" x14ac:dyDescent="0.3">
      <c r="A61" s="1460" t="s">
        <v>509</v>
      </c>
      <c r="B61" s="1460"/>
      <c r="C61" s="1461"/>
      <c r="D61" s="319" t="s">
        <v>510</v>
      </c>
      <c r="E61" s="314" t="s">
        <v>511</v>
      </c>
      <c r="F61" s="319" t="s">
        <v>512</v>
      </c>
      <c r="G61" s="325" t="s">
        <v>513</v>
      </c>
      <c r="H61" s="319" t="s">
        <v>514</v>
      </c>
      <c r="I61" s="326" t="s">
        <v>515</v>
      </c>
      <c r="P61" t="s">
        <v>51</v>
      </c>
      <c r="Q61" t="s">
        <v>781</v>
      </c>
      <c r="BK61" s="1490" t="s">
        <v>1004</v>
      </c>
      <c r="BL61" s="1491"/>
      <c r="BM61" s="1423" t="s">
        <v>999</v>
      </c>
      <c r="BN61" s="1424"/>
      <c r="BO61" s="1424"/>
      <c r="BP61" s="1425"/>
      <c r="BQ61" s="1423" t="s">
        <v>860</v>
      </c>
      <c r="BR61" s="1424"/>
      <c r="BS61" s="1424"/>
      <c r="BT61" s="1425"/>
      <c r="BU61" s="1426" t="s">
        <v>300</v>
      </c>
      <c r="BV61" s="1424"/>
      <c r="BW61" s="1424"/>
      <c r="BX61" s="1427"/>
      <c r="BY61" s="1423" t="s">
        <v>1001</v>
      </c>
      <c r="BZ61" s="1424"/>
      <c r="CA61" s="1424"/>
      <c r="CB61" s="1425"/>
      <c r="CC61" s="1426" t="s">
        <v>1005</v>
      </c>
      <c r="CD61" s="1424"/>
      <c r="CE61" s="1424"/>
      <c r="CF61" s="1425"/>
      <c r="CJ61" s="1492" t="s">
        <v>1003</v>
      </c>
      <c r="CK61" s="1493"/>
      <c r="CL61" s="1494" t="s">
        <v>999</v>
      </c>
      <c r="CM61" s="1420"/>
      <c r="CN61" s="1420"/>
      <c r="CO61" s="1421"/>
      <c r="CP61" s="1494" t="s">
        <v>860</v>
      </c>
      <c r="CQ61" s="1420"/>
      <c r="CR61" s="1420"/>
      <c r="CS61" s="1421"/>
      <c r="CT61" s="1419" t="s">
        <v>300</v>
      </c>
      <c r="CU61" s="1420"/>
      <c r="CV61" s="1420"/>
      <c r="CW61" s="1495"/>
      <c r="CX61" s="1423" t="s">
        <v>1001</v>
      </c>
      <c r="CY61" s="1424"/>
      <c r="CZ61" s="1424"/>
      <c r="DA61" s="1425"/>
      <c r="DB61" s="1419" t="s">
        <v>1000</v>
      </c>
      <c r="DC61" s="1420"/>
      <c r="DD61" s="1420"/>
      <c r="DE61" s="1421"/>
      <c r="DG61" s="26"/>
      <c r="DH61" s="698" t="s">
        <v>901</v>
      </c>
      <c r="DI61" s="698" t="s">
        <v>902</v>
      </c>
    </row>
    <row r="62" spans="1:113" ht="12" customHeight="1" x14ac:dyDescent="0.25">
      <c r="A62" s="1440">
        <v>1</v>
      </c>
      <c r="B62" s="1440"/>
      <c r="C62" s="1440"/>
      <c r="D62" s="331">
        <v>2</v>
      </c>
      <c r="E62" s="331">
        <v>3</v>
      </c>
      <c r="F62" s="331">
        <v>4</v>
      </c>
      <c r="G62" s="332">
        <v>5</v>
      </c>
      <c r="H62" s="332">
        <v>6</v>
      </c>
      <c r="I62" s="331">
        <v>7</v>
      </c>
      <c r="BK62" t="s">
        <v>631</v>
      </c>
      <c r="BM62" s="691" t="s">
        <v>855</v>
      </c>
      <c r="BN62" s="368" t="s">
        <v>856</v>
      </c>
      <c r="BO62" s="368" t="s">
        <v>857</v>
      </c>
      <c r="BP62" s="692" t="s">
        <v>858</v>
      </c>
      <c r="BQ62" s="693" t="s">
        <v>855</v>
      </c>
      <c r="BR62" s="694" t="s">
        <v>856</v>
      </c>
      <c r="BS62" s="694" t="s">
        <v>857</v>
      </c>
      <c r="BT62" s="695" t="s">
        <v>858</v>
      </c>
      <c r="BU62" s="696" t="s">
        <v>855</v>
      </c>
      <c r="BV62" s="694" t="s">
        <v>856</v>
      </c>
      <c r="BW62" s="694" t="s">
        <v>857</v>
      </c>
      <c r="BX62" s="697" t="s">
        <v>858</v>
      </c>
      <c r="BY62" s="691" t="s">
        <v>855</v>
      </c>
      <c r="BZ62" s="368" t="s">
        <v>856</v>
      </c>
      <c r="CA62" s="368" t="s">
        <v>857</v>
      </c>
      <c r="CB62" s="692" t="s">
        <v>858</v>
      </c>
      <c r="CC62" s="301" t="s">
        <v>855</v>
      </c>
      <c r="CD62" s="368" t="s">
        <v>856</v>
      </c>
      <c r="CE62" s="368" t="s">
        <v>857</v>
      </c>
      <c r="CF62" s="368" t="s">
        <v>858</v>
      </c>
      <c r="CJ62" s="22" t="s">
        <v>900</v>
      </c>
      <c r="CL62" s="691" t="s">
        <v>855</v>
      </c>
      <c r="CM62" s="368" t="s">
        <v>856</v>
      </c>
      <c r="CN62" s="368" t="s">
        <v>857</v>
      </c>
      <c r="CO62" s="692" t="s">
        <v>858</v>
      </c>
      <c r="CP62" s="693" t="s">
        <v>855</v>
      </c>
      <c r="CQ62" s="694" t="s">
        <v>856</v>
      </c>
      <c r="CR62" s="694" t="s">
        <v>857</v>
      </c>
      <c r="CS62" s="695" t="s">
        <v>858</v>
      </c>
      <c r="CT62" s="696" t="s">
        <v>855</v>
      </c>
      <c r="CU62" s="694" t="s">
        <v>856</v>
      </c>
      <c r="CV62" s="694" t="s">
        <v>857</v>
      </c>
      <c r="CW62" s="697" t="s">
        <v>858</v>
      </c>
      <c r="CX62" s="691" t="s">
        <v>855</v>
      </c>
      <c r="CY62" s="368" t="s">
        <v>856</v>
      </c>
      <c r="CZ62" s="368" t="s">
        <v>857</v>
      </c>
      <c r="DA62" s="692" t="s">
        <v>858</v>
      </c>
      <c r="DB62" s="301" t="s">
        <v>855</v>
      </c>
      <c r="DC62" s="368" t="s">
        <v>856</v>
      </c>
      <c r="DD62" s="368" t="s">
        <v>857</v>
      </c>
      <c r="DE62" s="368" t="s">
        <v>858</v>
      </c>
      <c r="DG62" s="33"/>
      <c r="DH62" s="33"/>
      <c r="DI62" s="33"/>
    </row>
    <row r="63" spans="1:113" ht="13.9" customHeight="1" x14ac:dyDescent="0.25">
      <c r="A63" s="1414" t="s">
        <v>524</v>
      </c>
      <c r="B63" s="1415"/>
      <c r="C63" s="1416"/>
      <c r="D63" s="333">
        <f>IFERROR(INDEX(DATA!$D$59:$D$71,MATCH(A63,DATA!$C$59:$C$71,0),1),0)</f>
        <v>0</v>
      </c>
      <c r="E63" s="333">
        <f>IFERROR(INDEX(DATA!$E$59:$E$71,MATCH(A63,DATA!$C$59:$C$71,0),1),0)</f>
        <v>0</v>
      </c>
      <c r="F63" s="333">
        <f>IFERROR(D63+E63,0)</f>
        <v>0</v>
      </c>
      <c r="G63" s="333">
        <f>MAX(0,DH63)</f>
        <v>0</v>
      </c>
      <c r="H63" s="333">
        <f>MAX(0,DI63)</f>
        <v>0</v>
      </c>
      <c r="I63" s="333">
        <f>MAX(0,H63-G63)</f>
        <v>0</v>
      </c>
      <c r="O63">
        <v>1</v>
      </c>
      <c r="P63" s="702" t="str">
        <f t="shared" ref="P63:P75" si="0">A63</f>
        <v>2011-12</v>
      </c>
      <c r="BK63" s="1" t="str">
        <f t="shared" ref="BK63:BK75" si="1">A63</f>
        <v>2011-12</v>
      </c>
      <c r="BL63" s="690">
        <f t="shared" ref="BL63:BL76" si="2">D63</f>
        <v>0</v>
      </c>
      <c r="BM63" s="429">
        <f>IF(AND($BL63&gt;=180000,($BL63&lt;500000)),($BL63-180000)*0.1)+IF(AND($BL63&gt;=500000,$BL63&lt;800000),(32000+($BL63-500000)*0.2))+IF($BL63&gt;=800000,(92000+($BL63-800000)*0.3))</f>
        <v>0</v>
      </c>
      <c r="BN63" s="1">
        <f>IF(AND($BL63&gt;=190000,($BL63&lt;500000)),($BL63-190000)*0.1)+IF(AND($BL63&gt;=500000,$BL63&lt;800000),(31000+($BL63-500000)*0.2))+IF($BL63&gt;=800000,(91000+($BL63-800000)*0.3))</f>
        <v>0</v>
      </c>
      <c r="BO63" s="1">
        <f>IF(AND($BL63&gt;=250000,($BL63&lt;500000)),($BL63-250000)*0.1)+IF(AND($BL63&gt;=500000,$BL63&lt;800000),(25000+($BL63-500000)*0.2))+IF($BL63&gt;=800000,(85000+($BL63-800000)*0.3))</f>
        <v>0</v>
      </c>
      <c r="BP63" s="430">
        <f>IF(AND($BL63&gt;=250000,($BL63&lt;500000)),($BL63-250000)*0)+IF(AND($BL63&gt;=500000,$BL63&lt;800000),(0+($BL63-500000)*0.2))+IF($BL63&gt;=800000,(60000+($BL63-800000)*0.3))</f>
        <v>0</v>
      </c>
      <c r="BQ63" s="429"/>
      <c r="BR63" s="1"/>
      <c r="BS63" s="1"/>
      <c r="BT63" s="430"/>
      <c r="BU63" s="529"/>
      <c r="BV63" s="1"/>
      <c r="BW63" s="1"/>
      <c r="BX63" s="187"/>
      <c r="BY63" s="704">
        <f>+BM63*0.03</f>
        <v>0</v>
      </c>
      <c r="BZ63" s="705">
        <f t="shared" ref="BZ63:CB63" si="3">+BN63*0.03</f>
        <v>0</v>
      </c>
      <c r="CA63" s="705">
        <f t="shared" si="3"/>
        <v>0</v>
      </c>
      <c r="CB63" s="706">
        <f t="shared" si="3"/>
        <v>0</v>
      </c>
      <c r="CC63" s="529">
        <f>SUM(BM63+BU63+BY63-BQ63)</f>
        <v>0</v>
      </c>
      <c r="CD63" s="1">
        <f t="shared" ref="CD63:CF63" si="4">SUM(BN63+BV63+BZ63-BR63)</f>
        <v>0</v>
      </c>
      <c r="CE63" s="1">
        <f t="shared" si="4"/>
        <v>0</v>
      </c>
      <c r="CF63" s="1">
        <f t="shared" si="4"/>
        <v>0</v>
      </c>
      <c r="CJ63" s="23" t="str">
        <f>BK63</f>
        <v>2011-12</v>
      </c>
      <c r="CK63" s="690">
        <f>IFERROR(F63,0)</f>
        <v>0</v>
      </c>
      <c r="CL63" s="429">
        <f>IF(AND($CK63&gt;=180000,($CK63&lt;500000)),($CK63-180000)*0.1)+IF(AND($CK63&gt;=500000,$CK63&lt;800000),(32000+($CK63-500000)*0.2))+IF($CK63&gt;=800000,(92000+($CK63-800000)*0.3))</f>
        <v>0</v>
      </c>
      <c r="CM63" s="1">
        <f>IF(AND($CK63&gt;=190000,($CK63&lt;500000)),($CK63-190000)*0.1)+IF(AND($CK63&gt;=500000,$CK63&lt;800000),(31000+($CK63-500000)*0.2))+IF($CK63&gt;=800000,(91000+($CK63-800000)*0.3))</f>
        <v>0</v>
      </c>
      <c r="CN63" s="1">
        <f>IF(AND($CK63&gt;=250000,($CK63&lt;500000)),($CK63-250000)*0.1)+IF(AND($CK63&gt;=500000,$CK63&lt;800000),(25000+($CK63-500000)*0.2))+IF($CK63&gt;=800000,(85000+($CK63-800000)*0.3))</f>
        <v>0</v>
      </c>
      <c r="CO63" s="430">
        <f>IF(AND($CK63&gt;=250000,($CK63&lt;500000)),($CK63-250000)*0)+IF(AND($CK63&gt;=500000,$CK63&lt;800000),(0+($CK63-500000)*0.2))+IF($CK63&gt;=800000,(60000+($CK63-800000)*0.3))</f>
        <v>0</v>
      </c>
      <c r="CP63" s="429"/>
      <c r="CQ63" s="1"/>
      <c r="CR63" s="1"/>
      <c r="CS63" s="430"/>
      <c r="CT63" s="529"/>
      <c r="CU63" s="1"/>
      <c r="CV63" s="1"/>
      <c r="CW63" s="187"/>
      <c r="CX63" s="429">
        <f>+CL63*0.03</f>
        <v>0</v>
      </c>
      <c r="CY63" s="1">
        <f t="shared" ref="CY63:CY65" si="5">+CM63*0.03</f>
        <v>0</v>
      </c>
      <c r="CZ63" s="1">
        <f t="shared" ref="CZ63:CZ65" si="6">+CN63*0.03</f>
        <v>0</v>
      </c>
      <c r="DA63" s="430">
        <f t="shared" ref="DA63:DA65" si="7">+CO63*0.03</f>
        <v>0</v>
      </c>
      <c r="DB63" s="529">
        <f>SUM(CL63+CT63+CX63-CP63)</f>
        <v>0</v>
      </c>
      <c r="DC63" s="1">
        <f t="shared" ref="DC63:DC71" si="8">SUM(CM63+CU63+CY63-CQ63)</f>
        <v>0</v>
      </c>
      <c r="DD63" s="1">
        <f t="shared" ref="DD63:DD71" si="9">SUM(CN63+CV63+CZ63-CR63)</f>
        <v>0</v>
      </c>
      <c r="DE63" s="1">
        <f t="shared" ref="DE63:DE71" si="10">SUM(CO63+CW63+DA63-CS63)</f>
        <v>0</v>
      </c>
      <c r="DG63" s="945">
        <v>1</v>
      </c>
      <c r="DH63" s="945">
        <f t="shared" ref="DH63:DH74" si="11">IF(DG63=1,INDEX(CD63:CF63,1,$DI$60),INDEX(AI63:AK63,1,$DI$60))</f>
        <v>0</v>
      </c>
      <c r="DI63" s="945">
        <f t="shared" ref="DI63:DI75" si="12">IF(DG63=1,INDEX(DC63:DE63,1,$DI$60),INDEX(BF63:BH63,1,$DI$60))</f>
        <v>0</v>
      </c>
    </row>
    <row r="64" spans="1:113" ht="18" customHeight="1" x14ac:dyDescent="0.25">
      <c r="A64" s="1414" t="s">
        <v>523</v>
      </c>
      <c r="B64" s="1415"/>
      <c r="C64" s="1416"/>
      <c r="D64" s="333">
        <f>IFERROR(INDEX(DATA!$D$59:$D$71,MATCH(A64,DATA!$C$59:$C$71,0),1),0)</f>
        <v>0</v>
      </c>
      <c r="E64" s="333">
        <f>IFERROR(INDEX(DATA!$E$59:$E$71,MATCH(A64,DATA!$C$59:$C$71,0),1),0)</f>
        <v>0</v>
      </c>
      <c r="F64" s="333">
        <f t="shared" ref="F64:F76" si="13">IFERROR(D64+E64,0)</f>
        <v>0</v>
      </c>
      <c r="G64" s="333">
        <f t="shared" ref="G64:G75" si="14">MAX(0,DH64)</f>
        <v>0</v>
      </c>
      <c r="H64" s="333">
        <f t="shared" ref="H64:H75" si="15">MAX(0,DI64)</f>
        <v>0</v>
      </c>
      <c r="I64" s="333">
        <f t="shared" ref="I64:I75" si="16">MAX(0,H64-G64)</f>
        <v>0</v>
      </c>
      <c r="O64">
        <v>2</v>
      </c>
      <c r="P64" s="702" t="str">
        <f t="shared" si="0"/>
        <v>2012-13</v>
      </c>
      <c r="BK64" s="1" t="str">
        <f t="shared" si="1"/>
        <v>2012-13</v>
      </c>
      <c r="BL64" s="690">
        <f t="shared" si="2"/>
        <v>0</v>
      </c>
      <c r="BM64" s="429">
        <f>IF(AND($BL64&gt;=200000,($BL64&lt;500000)),($BL64-200000)*0.1)+IF(AND($BL64&gt;=500000,$BL64&lt;1000000),(30000+($BL64-500000)*0.2))+IF($BL64&gt;=1000000,(130000+($BL64-1000000)*0.3))</f>
        <v>0</v>
      </c>
      <c r="BN64" s="1">
        <f>IF(AND($BL64&gt;=200000,($BL64&lt;500000)),($BL64-200000)*0.1)+IF(AND($BL64&gt;=500000,$BL64&lt;1000000),(30000+($BL64-500000)*0.2))+IF($BL64&gt;=1000000,(130000+($BL64-1000000)*0.3))</f>
        <v>0</v>
      </c>
      <c r="BO64" s="1">
        <f>IF(AND($BL64&gt;=250000,($BL64&lt;500000)),($BL64-250000)*0.1)+IF(AND($BL64&gt;=500000,$BL64&lt;1000000),(25000+($BL64-500000)*0.2))+IF($BL64&gt;=1000000,(125000+($BL64-1000000)*0.3))</f>
        <v>0</v>
      </c>
      <c r="BP64" s="430">
        <f>IF(AND($BL64&gt;=250000,($BL64&lt;500000)),($BL64-250000)*0)+IF(AND($BL64&gt;=500000,$BL64&lt;1000000),(0+($BL64-500000)*0.2))+IF($BL64&gt;=1000000,(100000+($BL64-1000000)*0.3))</f>
        <v>0</v>
      </c>
      <c r="BQ64" s="429"/>
      <c r="BR64" s="1"/>
      <c r="BS64" s="1"/>
      <c r="BT64" s="430"/>
      <c r="BU64" s="529"/>
      <c r="BV64" s="1"/>
      <c r="BW64" s="1"/>
      <c r="BX64" s="187"/>
      <c r="BY64" s="704">
        <f>+BM64*0.03</f>
        <v>0</v>
      </c>
      <c r="BZ64" s="705">
        <f t="shared" ref="BZ64" si="17">+BN64*0.03</f>
        <v>0</v>
      </c>
      <c r="CA64" s="705">
        <f t="shared" ref="CA64" si="18">+BO64*0.03</f>
        <v>0</v>
      </c>
      <c r="CB64" s="706">
        <f t="shared" ref="CB64" si="19">+BP64*0.03</f>
        <v>0</v>
      </c>
      <c r="CC64" s="529">
        <f t="shared" ref="CC64:CC70" si="20">SUM(BM64+BU64+BY64-BQ64)</f>
        <v>0</v>
      </c>
      <c r="CD64" s="1">
        <f t="shared" ref="CD64:CD71" si="21">SUM(BN64+BV64+BZ64-BR64)</f>
        <v>0</v>
      </c>
      <c r="CE64" s="1">
        <f t="shared" ref="CE64:CE71" si="22">SUM(BO64+BW64+CA64-BS64)</f>
        <v>0</v>
      </c>
      <c r="CF64" s="1">
        <f t="shared" ref="CF64:CF71" si="23">SUM(BP64+BX64+CB64-BT64)</f>
        <v>0</v>
      </c>
      <c r="CJ64" s="23" t="str">
        <f t="shared" ref="CJ64:CJ76" si="24">BK64</f>
        <v>2012-13</v>
      </c>
      <c r="CK64" s="690">
        <f t="shared" ref="CK64:CK76" si="25">IFERROR(F64,0)</f>
        <v>0</v>
      </c>
      <c r="CL64" s="429">
        <f>IF(AND($CK64&gt;=200000,($CK64&lt;500000)),($CK64-200000)*0.1)+IF(AND($CK64&gt;=500000,$CK64&lt;1000000),(30000+($CK64-500000)*0.2))+IF($CK64&gt;=1000000,(130000+($CK64-1000000)*0.3))</f>
        <v>0</v>
      </c>
      <c r="CM64" s="1">
        <f>IF(AND($CK64&gt;=200000,($CK64&lt;500000)),($CK64-200000)*0.1)+IF(AND($CK64&gt;=500000,$CK64&lt;1000000),(30000+($CK64-500000)*0.2))+IF($CK64&gt;=1000000,(130000+($CK64-1000000)*0.3))</f>
        <v>0</v>
      </c>
      <c r="CN64" s="1">
        <f>IF(AND($CK64&gt;=250000,($CK64&lt;500000)),($CK64-250000)*0.1)+IF(AND($CK64&gt;=500000,$CK64&lt;1000000),(25000+($CK64-500000)*0.2))+IF($CK64&gt;=1000000,(125000+($CK64-1000000)*0.3))</f>
        <v>0</v>
      </c>
      <c r="CO64" s="430">
        <f>IF(AND($CK64&gt;=250000,($CK64&lt;500000)),($CK64-250000)*0)+IF(AND($CK64&gt;=500000,$CK64&lt;1000000),(0+($CK64-500000)*0.2))+IF($CK64&gt;=1000000,(100000+($CK64-1000000)*0.3))</f>
        <v>0</v>
      </c>
      <c r="CP64" s="429"/>
      <c r="CQ64" s="1"/>
      <c r="CR64" s="1"/>
      <c r="CS64" s="430"/>
      <c r="CT64" s="529"/>
      <c r="CU64" s="1"/>
      <c r="CV64" s="1"/>
      <c r="CW64" s="187"/>
      <c r="CX64" s="429">
        <f>+CL64*0.03</f>
        <v>0</v>
      </c>
      <c r="CY64" s="1">
        <f t="shared" si="5"/>
        <v>0</v>
      </c>
      <c r="CZ64" s="1">
        <f t="shared" si="6"/>
        <v>0</v>
      </c>
      <c r="DA64" s="430">
        <f t="shared" si="7"/>
        <v>0</v>
      </c>
      <c r="DB64" s="529">
        <f t="shared" ref="DB64:DB70" si="26">SUM(CL64+CT64+CX64-CP64)</f>
        <v>0</v>
      </c>
      <c r="DC64" s="1">
        <f t="shared" si="8"/>
        <v>0</v>
      </c>
      <c r="DD64" s="1">
        <f t="shared" si="9"/>
        <v>0</v>
      </c>
      <c r="DE64" s="1">
        <f t="shared" si="10"/>
        <v>0</v>
      </c>
      <c r="DG64" s="945">
        <v>1</v>
      </c>
      <c r="DH64" s="945">
        <f t="shared" si="11"/>
        <v>0</v>
      </c>
      <c r="DI64" s="945">
        <f t="shared" si="12"/>
        <v>0</v>
      </c>
    </row>
    <row r="65" spans="1:115" ht="19.5" customHeight="1" x14ac:dyDescent="0.25">
      <c r="A65" s="1414" t="s">
        <v>522</v>
      </c>
      <c r="B65" s="1415"/>
      <c r="C65" s="1416"/>
      <c r="D65" s="333">
        <f>IFERROR(INDEX(DATA!$D$59:$D$71,MATCH(A65,DATA!$C$59:$C$71,0),1),0)</f>
        <v>0</v>
      </c>
      <c r="E65" s="333">
        <f>IFERROR(INDEX(DATA!$E$59:$E$71,MATCH(A65,DATA!$C$59:$C$71,0),1),0)</f>
        <v>0</v>
      </c>
      <c r="F65" s="333">
        <f t="shared" si="13"/>
        <v>0</v>
      </c>
      <c r="G65" s="333">
        <f t="shared" si="14"/>
        <v>0</v>
      </c>
      <c r="H65" s="333">
        <f t="shared" si="15"/>
        <v>0</v>
      </c>
      <c r="I65" s="333">
        <f t="shared" si="16"/>
        <v>0</v>
      </c>
      <c r="O65">
        <v>3</v>
      </c>
      <c r="P65" s="702" t="str">
        <f t="shared" si="0"/>
        <v>2013-14</v>
      </c>
      <c r="BK65" s="1" t="str">
        <f t="shared" si="1"/>
        <v>2013-14</v>
      </c>
      <c r="BL65" s="690">
        <f t="shared" si="2"/>
        <v>0</v>
      </c>
      <c r="BM65" s="429">
        <f>IF(AND($BL65&gt;=200000,($BL65&lt;500000)),($BL65-200000)*0.1)+IF(AND($BL65&gt;=500000,$BL65&lt;1000000),(30000+($BL65-500000)*0.2))+IF($BL65&gt;=1000000,(130000+($BL65-1000000)*0.3))</f>
        <v>0</v>
      </c>
      <c r="BN65" s="1">
        <f>IF(AND($BL65&gt;=200000,($BL65&lt;500000)),($BL65-200000)*0.1)+IF(AND($BL65&gt;=500000,$BL65&lt;1000000),(30000+($BL65-500000)*0.2))+IF($BL65&gt;=1000000,(130000+($BL65-1000000)*0.3))</f>
        <v>0</v>
      </c>
      <c r="BO65" s="1">
        <f>IF(AND($BL65&gt;=250000,($BL65&lt;500000)),($BL65-250000)*0.1)+IF(AND($BL65&gt;=500000,$BL65&lt;1000000),(25000+($BL65-500000)*0.2))+IF($BL65&gt;=1000000,(125000+($BL65-1000000)*0.3))</f>
        <v>0</v>
      </c>
      <c r="BP65" s="430">
        <f>IF(AND($BL65&gt;=250000,($BL65&lt;500000)),($BL65-250000)*0)+IF(AND($BL65&gt;=500000,$BL65&lt;1000000),(0+($BL65-500000)*0.2))+IF($BL65&gt;=1000000,(100000+($BL65-1000000)*0.3))</f>
        <v>0</v>
      </c>
      <c r="BQ65" s="429">
        <f>IF($BL65&lt;500001,MIN(BM65,2000),0)</f>
        <v>0</v>
      </c>
      <c r="BR65" s="1">
        <f t="shared" ref="BR65:BT65" si="27">IF($BL65&lt;500001,MIN(BN65,2000),0)</f>
        <v>0</v>
      </c>
      <c r="BS65" s="1">
        <f t="shared" si="27"/>
        <v>0</v>
      </c>
      <c r="BT65" s="430">
        <f t="shared" si="27"/>
        <v>0</v>
      </c>
      <c r="BU65" s="529"/>
      <c r="BV65" s="1"/>
      <c r="BW65" s="1"/>
      <c r="BX65" s="187"/>
      <c r="BY65" s="704">
        <f>+BM65*0.03</f>
        <v>0</v>
      </c>
      <c r="BZ65" s="705">
        <f t="shared" ref="BZ65" si="28">+BN65*0.03</f>
        <v>0</v>
      </c>
      <c r="CA65" s="705">
        <f t="shared" ref="CA65" si="29">+BO65*0.03</f>
        <v>0</v>
      </c>
      <c r="CB65" s="706">
        <f t="shared" ref="CB65" si="30">+BP65*0.03</f>
        <v>0</v>
      </c>
      <c r="CC65" s="529">
        <f t="shared" si="20"/>
        <v>0</v>
      </c>
      <c r="CD65" s="1">
        <f t="shared" si="21"/>
        <v>0</v>
      </c>
      <c r="CE65" s="1">
        <f t="shared" si="22"/>
        <v>0</v>
      </c>
      <c r="CF65" s="1">
        <f t="shared" si="23"/>
        <v>0</v>
      </c>
      <c r="CJ65" s="23" t="str">
        <f t="shared" si="24"/>
        <v>2013-14</v>
      </c>
      <c r="CK65" s="690">
        <f t="shared" si="25"/>
        <v>0</v>
      </c>
      <c r="CL65" s="429">
        <f>IF(AND($CK65&gt;=200000,($CK65&lt;500000)),($CK65-200000)*0.1)+IF(AND($CK65&gt;=500000,$CK65&lt;1000000),(30000+($CK65-500000)*0.2))+IF($CK65&gt;=1000000,(130000+($CK65-1000000)*0.3))</f>
        <v>0</v>
      </c>
      <c r="CM65" s="1">
        <f>IF(AND($CK65&gt;=200000,($CK65&lt;500000)),($CK65-200000)*0.1)+IF(AND($CK65&gt;=500000,$CK65&lt;1000000),(30000+($CK65-500000)*0.2))+IF($CK65&gt;=1000000,(130000+($CK65-1000000)*0.3))</f>
        <v>0</v>
      </c>
      <c r="CN65" s="1">
        <f>IF(AND($CK65&gt;=250000,($CK65&lt;500000)),($CK65-250000)*0.1)+IF(AND($CK65&gt;=500000,$CK65&lt;1000000),(25000+($CK65-500000)*0.2))+IF($CK65&gt;=1000000,(125000+($CK65-1000000)*0.3))</f>
        <v>0</v>
      </c>
      <c r="CO65" s="430">
        <f>IF(AND($CK65&gt;=250000,($CK65&lt;500000)),($CK65-250000)*0)+IF(AND($CK65&gt;=500000,$CK65&lt;1000000),(0+($CK65-500000)*0.2))+IF($CK65&gt;=1000000,(100000+($CK65-1000000)*0.3))</f>
        <v>0</v>
      </c>
      <c r="CP65" s="429">
        <f t="shared" ref="CP65:CS67" si="31">IF($CK65&lt;500001,MIN(CL65,2000),0)</f>
        <v>0</v>
      </c>
      <c r="CQ65" s="1">
        <f t="shared" si="31"/>
        <v>0</v>
      </c>
      <c r="CR65" s="1">
        <f t="shared" si="31"/>
        <v>0</v>
      </c>
      <c r="CS65" s="430">
        <f t="shared" si="31"/>
        <v>0</v>
      </c>
      <c r="CT65" s="529"/>
      <c r="CU65" s="1"/>
      <c r="CV65" s="1"/>
      <c r="CW65" s="187"/>
      <c r="CX65" s="429">
        <f>+CL65*0.03</f>
        <v>0</v>
      </c>
      <c r="CY65" s="1">
        <f t="shared" si="5"/>
        <v>0</v>
      </c>
      <c r="CZ65" s="1">
        <f t="shared" si="6"/>
        <v>0</v>
      </c>
      <c r="DA65" s="430">
        <f t="shared" si="7"/>
        <v>0</v>
      </c>
      <c r="DB65" s="529">
        <f t="shared" si="26"/>
        <v>0</v>
      </c>
      <c r="DC65" s="1">
        <f t="shared" si="8"/>
        <v>0</v>
      </c>
      <c r="DD65" s="1">
        <f t="shared" si="9"/>
        <v>0</v>
      </c>
      <c r="DE65" s="1">
        <f t="shared" si="10"/>
        <v>0</v>
      </c>
      <c r="DG65" s="945">
        <v>1</v>
      </c>
      <c r="DH65" s="945">
        <f t="shared" si="11"/>
        <v>0</v>
      </c>
      <c r="DI65" s="945">
        <f t="shared" si="12"/>
        <v>0</v>
      </c>
    </row>
    <row r="66" spans="1:115" ht="16.149999999999999" customHeight="1" x14ac:dyDescent="0.25">
      <c r="A66" s="1414" t="s">
        <v>521</v>
      </c>
      <c r="B66" s="1415"/>
      <c r="C66" s="1416"/>
      <c r="D66" s="333">
        <f>IFERROR(INDEX(DATA!$D$59:$D$71,MATCH(A66,DATA!$C$59:$C$71,0),1),0)</f>
        <v>0</v>
      </c>
      <c r="E66" s="333">
        <f>IFERROR(INDEX(DATA!$E$59:$E$71,MATCH(A66,DATA!$C$59:$C$71,0),1),0)</f>
        <v>0</v>
      </c>
      <c r="F66" s="333">
        <f t="shared" si="13"/>
        <v>0</v>
      </c>
      <c r="G66" s="333">
        <f t="shared" si="14"/>
        <v>0</v>
      </c>
      <c r="H66" s="333">
        <f t="shared" si="15"/>
        <v>0</v>
      </c>
      <c r="I66" s="333">
        <f t="shared" si="16"/>
        <v>0</v>
      </c>
      <c r="O66">
        <v>4</v>
      </c>
      <c r="P66" s="702" t="str">
        <f t="shared" si="0"/>
        <v>2014-15</v>
      </c>
      <c r="BK66" s="1" t="str">
        <f t="shared" si="1"/>
        <v>2014-15</v>
      </c>
      <c r="BL66" s="690">
        <f t="shared" si="2"/>
        <v>0</v>
      </c>
      <c r="BM66" s="429">
        <f t="shared" ref="BM66:BN68" si="32">IF(AND($BL66&gt;=250000,($BL66&lt;500000)),($BL66-250000)*0.1)+IF(AND($BL66&gt;=500000,$BL66&lt;1000000),(25000+($BL66-500000)*0.2))+IF($BL66&gt;=1000000,(125000+($BL66-1000000)*0.3))</f>
        <v>0</v>
      </c>
      <c r="BN66" s="1">
        <f t="shared" si="32"/>
        <v>0</v>
      </c>
      <c r="BO66" s="1">
        <f>IF(AND($BL66&gt;=300000,($BL66&lt;500000)),($BL66-300000)*0.1)+IF(AND($BL66&gt;=500000,$BL66&lt;1000000),(20000+($BL66-500000)*0.2))+IF($BL66&gt;=1000000,(120000+($BL66-1000000)*0.3))</f>
        <v>0</v>
      </c>
      <c r="BP66" s="430">
        <f t="shared" ref="BP66:BP77" si="33">IF(AND($BL66&gt;=500000,($BL66&lt;500000)),($BL66-500000)*0)+IF(AND($BL66&gt;=500000,$BL66&lt;1000000),(0+($BL66-500000)*0.2))+IF($BL66&gt;=1000000,(100000+($BL66-1000000)*0.3))</f>
        <v>0</v>
      </c>
      <c r="BQ66" s="429">
        <f>IF($BL66&lt;500001,MIN(BM66,2000),0)</f>
        <v>0</v>
      </c>
      <c r="BR66" s="1">
        <f t="shared" ref="BR66" si="34">IF($BL66&lt;500001,MIN(BN66,2000),0)</f>
        <v>0</v>
      </c>
      <c r="BS66" s="1">
        <f t="shared" ref="BS66" si="35">IF($BL66&lt;500001,MIN(BO66,2000),0)</f>
        <v>0</v>
      </c>
      <c r="BT66" s="430">
        <f t="shared" ref="BT66" si="36">IF($BL66&lt;500001,MIN(BP66,2000),0)</f>
        <v>0</v>
      </c>
      <c r="BU66" s="529"/>
      <c r="BV66" s="1"/>
      <c r="BW66" s="1"/>
      <c r="BX66" s="187"/>
      <c r="BY66" s="704">
        <f>ROUND((BM66-BQ66)*3%,0)</f>
        <v>0</v>
      </c>
      <c r="BZ66" s="705">
        <f t="shared" ref="BZ66:CB66" si="37">ROUND((BN66-BR66)*3%,0)</f>
        <v>0</v>
      </c>
      <c r="CA66" s="705">
        <f t="shared" si="37"/>
        <v>0</v>
      </c>
      <c r="CB66" s="706">
        <f t="shared" si="37"/>
        <v>0</v>
      </c>
      <c r="CC66" s="529">
        <f t="shared" si="20"/>
        <v>0</v>
      </c>
      <c r="CD66" s="1">
        <f t="shared" si="21"/>
        <v>0</v>
      </c>
      <c r="CE66" s="1">
        <f t="shared" si="22"/>
        <v>0</v>
      </c>
      <c r="CF66" s="1">
        <f t="shared" si="23"/>
        <v>0</v>
      </c>
      <c r="CJ66" s="23" t="str">
        <f t="shared" si="24"/>
        <v>2014-15</v>
      </c>
      <c r="CK66" s="690">
        <f t="shared" si="25"/>
        <v>0</v>
      </c>
      <c r="CL66" s="429">
        <f t="shared" ref="CL66:CM68" si="38">IF(AND($CK66&gt;=250000,($CK66&lt;500000)),($CK66-250000)*0.1)+IF(AND($CK66&gt;=500000,$CK66&lt;1000000),(25000+($CK66-500000)*0.2))+IF($CK66&gt;=1000000,(125000+($CK66-1000000)*0.3))</f>
        <v>0</v>
      </c>
      <c r="CM66" s="1">
        <f t="shared" si="38"/>
        <v>0</v>
      </c>
      <c r="CN66" s="1">
        <f>IF(AND($CK66&gt;=300000,($CK66&lt;500000)),($CK66-300000)*0.1)+IF(AND($CK66&gt;=500000,$CK66&lt;1000000),(20000+($CK66-500000)*0.2))+IF($CK66&gt;=1000000,(120000+($CK66-1000000)*0.3))</f>
        <v>0</v>
      </c>
      <c r="CO66" s="430">
        <f t="shared" ref="CO66:CO77" si="39">IF(AND($CK66&gt;=500000,($CK66&lt;500000)),($CK66-500000)*0)+IF(AND($CK66&gt;=500000,$CK66&lt;1000000),(0+($CK66-500000)*0.2))+IF($CK66&gt;=1000000,(100000+($CK66-1000000)*0.3))</f>
        <v>0</v>
      </c>
      <c r="CP66" s="429">
        <f t="shared" si="31"/>
        <v>0</v>
      </c>
      <c r="CQ66" s="1">
        <f t="shared" si="31"/>
        <v>0</v>
      </c>
      <c r="CR66" s="1">
        <f t="shared" si="31"/>
        <v>0</v>
      </c>
      <c r="CS66" s="430">
        <f t="shared" si="31"/>
        <v>0</v>
      </c>
      <c r="CT66" s="529"/>
      <c r="CU66" s="1"/>
      <c r="CV66" s="1"/>
      <c r="CW66" s="187"/>
      <c r="CX66" s="429">
        <f>ROUND((CL66-CP66)*3%,0)</f>
        <v>0</v>
      </c>
      <c r="CY66" s="1">
        <f t="shared" ref="CY66:CY69" si="40">ROUND((CM66-CQ66)*3%,0)</f>
        <v>0</v>
      </c>
      <c r="CZ66" s="1">
        <f t="shared" ref="CZ66:CZ69" si="41">ROUND((CN66-CR66)*3%,0)</f>
        <v>0</v>
      </c>
      <c r="DA66" s="430">
        <f t="shared" ref="DA66:DA69" si="42">ROUND((CO66-CS66)*3%,0)</f>
        <v>0</v>
      </c>
      <c r="DB66" s="529">
        <f t="shared" si="26"/>
        <v>0</v>
      </c>
      <c r="DC66" s="1">
        <f t="shared" si="8"/>
        <v>0</v>
      </c>
      <c r="DD66" s="1">
        <f t="shared" si="9"/>
        <v>0</v>
      </c>
      <c r="DE66" s="1">
        <f t="shared" si="10"/>
        <v>0</v>
      </c>
      <c r="DG66" s="945">
        <v>1</v>
      </c>
      <c r="DH66" s="945">
        <f t="shared" si="11"/>
        <v>0</v>
      </c>
      <c r="DI66" s="945">
        <f t="shared" si="12"/>
        <v>0</v>
      </c>
    </row>
    <row r="67" spans="1:115" ht="15.4" customHeight="1" x14ac:dyDescent="0.25">
      <c r="A67" s="1414" t="s">
        <v>520</v>
      </c>
      <c r="B67" s="1415"/>
      <c r="C67" s="1416"/>
      <c r="D67" s="333">
        <f>IFERROR(INDEX(DATA!$D$59:$D$71,MATCH(A67,DATA!$C$59:$C$71,0),1),0)</f>
        <v>0</v>
      </c>
      <c r="E67" s="333">
        <f>IFERROR(INDEX(DATA!$E$59:$E$71,MATCH(A67,DATA!$C$59:$C$71,0),1),0)</f>
        <v>0</v>
      </c>
      <c r="F67" s="333">
        <f t="shared" si="13"/>
        <v>0</v>
      </c>
      <c r="G67" s="333">
        <f t="shared" si="14"/>
        <v>0</v>
      </c>
      <c r="H67" s="333">
        <f t="shared" si="15"/>
        <v>0</v>
      </c>
      <c r="I67" s="333">
        <f t="shared" si="16"/>
        <v>0</v>
      </c>
      <c r="O67">
        <v>5</v>
      </c>
      <c r="P67" s="702" t="str">
        <f t="shared" si="0"/>
        <v>2015-16</v>
      </c>
      <c r="R67" s="1422" t="s">
        <v>899</v>
      </c>
      <c r="S67" s="1422"/>
      <c r="AM67" s="703" t="s">
        <v>1006</v>
      </c>
      <c r="AN67" s="703"/>
      <c r="BK67" s="1" t="str">
        <f t="shared" si="1"/>
        <v>2015-16</v>
      </c>
      <c r="BL67" s="690">
        <f t="shared" si="2"/>
        <v>0</v>
      </c>
      <c r="BM67" s="429">
        <f t="shared" si="32"/>
        <v>0</v>
      </c>
      <c r="BN67" s="1">
        <f t="shared" si="32"/>
        <v>0</v>
      </c>
      <c r="BO67" s="1">
        <f>IF(AND($BL67&gt;=300000,($BL67&lt;500000)),($BL67-300000)*0.1)+IF(AND($BL67&gt;=500000,$BL67&lt;1000000),(20000+($BL67-500000)*0.2))+IF($BL67&gt;=1000000,(120000+($BL67-1000000)*0.3))</f>
        <v>0</v>
      </c>
      <c r="BP67" s="430">
        <f t="shared" si="33"/>
        <v>0</v>
      </c>
      <c r="BQ67" s="429">
        <f>IF($BL67&lt;500001,MIN(BM67,2000),0)</f>
        <v>0</v>
      </c>
      <c r="BR67" s="1">
        <f t="shared" ref="BR67:BT67" si="43">IF($BL67&lt;500001,MIN(BN67,2000),0)</f>
        <v>0</v>
      </c>
      <c r="BS67" s="1">
        <f t="shared" si="43"/>
        <v>0</v>
      </c>
      <c r="BT67" s="430">
        <f t="shared" si="43"/>
        <v>0</v>
      </c>
      <c r="BU67" s="529"/>
      <c r="BV67" s="1"/>
      <c r="BW67" s="1"/>
      <c r="BX67" s="187"/>
      <c r="BY67" s="704">
        <f>ROUND((BM67-BQ67)*3%,0)</f>
        <v>0</v>
      </c>
      <c r="BZ67" s="705">
        <f t="shared" ref="BZ67" si="44">ROUND((BN67-BR67)*3%,0)</f>
        <v>0</v>
      </c>
      <c r="CA67" s="705">
        <f t="shared" ref="CA67" si="45">ROUND((BO67-BS67)*3%,0)</f>
        <v>0</v>
      </c>
      <c r="CB67" s="706">
        <f t="shared" ref="CB67" si="46">ROUND((BP67-BT67)*3%,0)</f>
        <v>0</v>
      </c>
      <c r="CC67" s="529">
        <f t="shared" si="20"/>
        <v>0</v>
      </c>
      <c r="CD67" s="1">
        <f t="shared" si="21"/>
        <v>0</v>
      </c>
      <c r="CE67" s="1">
        <f t="shared" si="22"/>
        <v>0</v>
      </c>
      <c r="CF67" s="1">
        <f t="shared" si="23"/>
        <v>0</v>
      </c>
      <c r="CJ67" s="23" t="str">
        <f t="shared" si="24"/>
        <v>2015-16</v>
      </c>
      <c r="CK67" s="690">
        <f t="shared" si="25"/>
        <v>0</v>
      </c>
      <c r="CL67" s="429">
        <f t="shared" si="38"/>
        <v>0</v>
      </c>
      <c r="CM67" s="1">
        <f t="shared" si="38"/>
        <v>0</v>
      </c>
      <c r="CN67" s="1">
        <f>IF(AND($CK67&gt;=300000,($CK67&lt;500000)),($CK67-300000)*0.1)+IF(AND($CK67&gt;=500000,$CK67&lt;1000000),(20000+($CK67-500000)*0.2))+IF($CK67&gt;=1000000,(120000+($CK67-1000000)*0.3))</f>
        <v>0</v>
      </c>
      <c r="CO67" s="430">
        <f t="shared" si="39"/>
        <v>0</v>
      </c>
      <c r="CP67" s="429">
        <f t="shared" si="31"/>
        <v>0</v>
      </c>
      <c r="CQ67" s="1">
        <f t="shared" si="31"/>
        <v>0</v>
      </c>
      <c r="CR67" s="1">
        <f t="shared" si="31"/>
        <v>0</v>
      </c>
      <c r="CS67" s="430">
        <f t="shared" si="31"/>
        <v>0</v>
      </c>
      <c r="CT67" s="529"/>
      <c r="CU67" s="1"/>
      <c r="CV67" s="1"/>
      <c r="CW67" s="187"/>
      <c r="CX67" s="429">
        <f>ROUND((CL67-CP67)*3%,0)</f>
        <v>0</v>
      </c>
      <c r="CY67" s="1">
        <f t="shared" si="40"/>
        <v>0</v>
      </c>
      <c r="CZ67" s="1">
        <f t="shared" si="41"/>
        <v>0</v>
      </c>
      <c r="DA67" s="430">
        <f t="shared" si="42"/>
        <v>0</v>
      </c>
      <c r="DB67" s="529">
        <f t="shared" si="26"/>
        <v>0</v>
      </c>
      <c r="DC67" s="1">
        <f t="shared" si="8"/>
        <v>0</v>
      </c>
      <c r="DD67" s="1">
        <f t="shared" si="9"/>
        <v>0</v>
      </c>
      <c r="DE67" s="1">
        <f t="shared" si="10"/>
        <v>0</v>
      </c>
      <c r="DG67" s="945">
        <v>1</v>
      </c>
      <c r="DH67" s="945">
        <f t="shared" si="11"/>
        <v>0</v>
      </c>
      <c r="DI67" s="945">
        <f t="shared" si="12"/>
        <v>0</v>
      </c>
    </row>
    <row r="68" spans="1:115" ht="15.4" customHeight="1" x14ac:dyDescent="0.25">
      <c r="A68" s="1414" t="s">
        <v>519</v>
      </c>
      <c r="B68" s="1415"/>
      <c r="C68" s="1416"/>
      <c r="D68" s="333">
        <f>IFERROR(INDEX(DATA!$D$59:$D$71,MATCH(A68,DATA!$C$59:$C$71,0),1),0)</f>
        <v>0</v>
      </c>
      <c r="E68" s="333">
        <f>IFERROR(INDEX(DATA!$E$59:$E$71,MATCH(A68,DATA!$C$59:$C$71,0),1),0)</f>
        <v>0</v>
      </c>
      <c r="F68" s="333">
        <f t="shared" si="13"/>
        <v>0</v>
      </c>
      <c r="G68" s="333">
        <f t="shared" si="14"/>
        <v>0</v>
      </c>
      <c r="H68" s="333">
        <f t="shared" si="15"/>
        <v>0</v>
      </c>
      <c r="I68" s="333">
        <f t="shared" si="16"/>
        <v>0</v>
      </c>
      <c r="O68">
        <v>6</v>
      </c>
      <c r="P68" s="702" t="str">
        <f t="shared" si="0"/>
        <v>2016-17</v>
      </c>
      <c r="R68" s="1428" t="s">
        <v>899</v>
      </c>
      <c r="S68" s="1428"/>
      <c r="T68" s="1428"/>
      <c r="U68" s="1428"/>
      <c r="V68" s="1428"/>
      <c r="W68" s="1428"/>
      <c r="X68" s="1428"/>
      <c r="Y68" s="1428"/>
      <c r="Z68" s="1428"/>
      <c r="AA68" s="1428"/>
      <c r="AB68" s="1428"/>
      <c r="AC68" s="1428"/>
      <c r="AD68" s="1428"/>
      <c r="AE68" s="1428"/>
      <c r="AF68" s="1428"/>
      <c r="AG68" s="1428"/>
      <c r="AH68" s="1428"/>
      <c r="AI68" s="1428"/>
      <c r="AJ68" s="1428"/>
      <c r="AK68" s="1428"/>
      <c r="AL68" s="33"/>
      <c r="AM68" t="str">
        <f>P68</f>
        <v>2016-17</v>
      </c>
      <c r="AO68" s="1428" t="s">
        <v>529</v>
      </c>
      <c r="AP68" s="1428"/>
      <c r="AQ68" s="1428"/>
      <c r="AR68" s="1428"/>
      <c r="AS68" s="1428"/>
      <c r="AT68" s="1428"/>
      <c r="AU68" s="1428"/>
      <c r="AV68" s="1428"/>
      <c r="AW68" s="1428"/>
      <c r="AX68" s="1428"/>
      <c r="AY68" s="1428"/>
      <c r="AZ68" s="1428"/>
      <c r="BA68" s="1428"/>
      <c r="BB68" s="1428"/>
      <c r="BC68" s="1428"/>
      <c r="BD68" s="1428"/>
      <c r="BE68" s="1428"/>
      <c r="BF68" s="1428"/>
      <c r="BG68" s="1428"/>
      <c r="BH68" s="1428"/>
      <c r="BK68" s="1" t="str">
        <f t="shared" si="1"/>
        <v>2016-17</v>
      </c>
      <c r="BL68" s="690">
        <f t="shared" si="2"/>
        <v>0</v>
      </c>
      <c r="BM68" s="429">
        <f t="shared" si="32"/>
        <v>0</v>
      </c>
      <c r="BN68" s="1">
        <f t="shared" si="32"/>
        <v>0</v>
      </c>
      <c r="BO68" s="1">
        <f>IF(AND($BL68&gt;=300000,($BL68&lt;500000)),($BL68-300000)*0.1)+IF(AND($BL68&gt;=500000,$BL68&lt;1000000),(20000+($BL68-500000)*0.2))+IF($BL68&gt;=1000000,(120000+($BL68-1000000)*0.3))</f>
        <v>0</v>
      </c>
      <c r="BP68" s="430">
        <f t="shared" si="33"/>
        <v>0</v>
      </c>
      <c r="BQ68" s="687">
        <f>IF($BL68&lt;500001,MIN(BM68,5000),0)</f>
        <v>0</v>
      </c>
      <c r="BR68" s="464">
        <f>IF($BL68&lt;500001,MIN(BN68,5000),0)</f>
        <v>0</v>
      </c>
      <c r="BS68" s="464">
        <f>IF($BL68&lt;500001,MIN(BO68,5000),0)</f>
        <v>0</v>
      </c>
      <c r="BT68" s="430">
        <f>IF($BL68&lt;500001,MIN(BP68,5000),0)</f>
        <v>0</v>
      </c>
      <c r="BU68" s="529"/>
      <c r="BV68" s="1"/>
      <c r="BW68" s="1"/>
      <c r="BX68" s="187"/>
      <c r="BY68" s="704">
        <f t="shared" ref="BY68:BY69" si="47">ROUND((BM68-BQ68)*3%,0)</f>
        <v>0</v>
      </c>
      <c r="BZ68" s="705">
        <f t="shared" ref="BZ68:BZ69" si="48">ROUND((BN68-BR68)*3%,0)</f>
        <v>0</v>
      </c>
      <c r="CA68" s="705">
        <f t="shared" ref="CA68:CA69" si="49">ROUND((BO68-BS68)*3%,0)</f>
        <v>0</v>
      </c>
      <c r="CB68" s="706">
        <f t="shared" ref="CB68:CB69" si="50">ROUND((BP68-BT68)*3%,0)</f>
        <v>0</v>
      </c>
      <c r="CC68" s="529">
        <f t="shared" si="20"/>
        <v>0</v>
      </c>
      <c r="CD68" s="1">
        <f t="shared" si="21"/>
        <v>0</v>
      </c>
      <c r="CE68" s="1">
        <f t="shared" si="22"/>
        <v>0</v>
      </c>
      <c r="CF68" s="1">
        <f t="shared" si="23"/>
        <v>0</v>
      </c>
      <c r="CJ68" s="23" t="str">
        <f t="shared" si="24"/>
        <v>2016-17</v>
      </c>
      <c r="CK68" s="690">
        <f t="shared" si="25"/>
        <v>0</v>
      </c>
      <c r="CL68" s="429">
        <f t="shared" si="38"/>
        <v>0</v>
      </c>
      <c r="CM68" s="1">
        <f t="shared" si="38"/>
        <v>0</v>
      </c>
      <c r="CN68" s="1">
        <f>IF(AND($CK68&gt;=300000,($CK68&lt;500000)),($CK68-300000)*0.1)+IF(AND($CK68&gt;=500000,$CK68&lt;1000000),(20000+($CK68-500000)*0.2))+IF($CK68&gt;=1000000,(120000+($CK68-1000000)*0.3))</f>
        <v>0</v>
      </c>
      <c r="CO68" s="430">
        <f t="shared" si="39"/>
        <v>0</v>
      </c>
      <c r="CP68" s="687">
        <f>IF($CK68&lt;500001,MIN(CL68,5000),0)</f>
        <v>0</v>
      </c>
      <c r="CQ68" s="464">
        <f>IF($CK68&lt;500001,MIN(CM68,5000),0)</f>
        <v>0</v>
      </c>
      <c r="CR68" s="464">
        <f>IF($CK68&lt;500001,MIN(CN68,5000),0)</f>
        <v>0</v>
      </c>
      <c r="CS68" s="430">
        <f>IF($CK68&lt;500001,MIN(CO68,5000),0)</f>
        <v>0</v>
      </c>
      <c r="CT68" s="529"/>
      <c r="CU68" s="1"/>
      <c r="CV68" s="1"/>
      <c r="CW68" s="187"/>
      <c r="CX68" s="429">
        <f t="shared" ref="CX68:CX69" si="51">ROUND((CL68-CP68)*3%,0)</f>
        <v>0</v>
      </c>
      <c r="CY68" s="1">
        <f t="shared" si="40"/>
        <v>0</v>
      </c>
      <c r="CZ68" s="1">
        <f t="shared" si="41"/>
        <v>0</v>
      </c>
      <c r="DA68" s="430">
        <f t="shared" si="42"/>
        <v>0</v>
      </c>
      <c r="DB68" s="529">
        <f t="shared" si="26"/>
        <v>0</v>
      </c>
      <c r="DC68" s="1">
        <f t="shared" si="8"/>
        <v>0</v>
      </c>
      <c r="DD68" s="1">
        <f t="shared" si="9"/>
        <v>0</v>
      </c>
      <c r="DE68" s="1">
        <f t="shared" si="10"/>
        <v>0</v>
      </c>
      <c r="DG68" s="945">
        <v>1</v>
      </c>
      <c r="DH68" s="945">
        <f t="shared" si="11"/>
        <v>0</v>
      </c>
      <c r="DI68" s="945">
        <f t="shared" si="12"/>
        <v>0</v>
      </c>
    </row>
    <row r="69" spans="1:115" ht="15.4" customHeight="1" x14ac:dyDescent="0.25">
      <c r="A69" s="1414" t="s">
        <v>518</v>
      </c>
      <c r="B69" s="1415"/>
      <c r="C69" s="1416"/>
      <c r="D69" s="333">
        <f>IFERROR(INDEX(DATA!$D$59:$D$71,MATCH(A69,DATA!$C$59:$C$71,0),1),0)</f>
        <v>0</v>
      </c>
      <c r="E69" s="333">
        <f>IFERROR(INDEX(DATA!$E$59:$E$71,MATCH(A69,DATA!$C$59:$C$71,0),1),0)</f>
        <v>0</v>
      </c>
      <c r="F69" s="333">
        <f t="shared" si="13"/>
        <v>0</v>
      </c>
      <c r="G69" s="333">
        <f t="shared" si="14"/>
        <v>0</v>
      </c>
      <c r="H69" s="333">
        <f t="shared" si="15"/>
        <v>0</v>
      </c>
      <c r="I69" s="333">
        <f t="shared" si="16"/>
        <v>0</v>
      </c>
      <c r="O69">
        <v>7</v>
      </c>
      <c r="P69" s="702" t="str">
        <f t="shared" si="0"/>
        <v>2017-18</v>
      </c>
      <c r="R69" s="1432" t="s">
        <v>859</v>
      </c>
      <c r="S69" s="1430"/>
      <c r="T69" s="1430"/>
      <c r="U69" s="1433"/>
      <c r="V69" s="1429" t="s">
        <v>860</v>
      </c>
      <c r="W69" s="1430"/>
      <c r="X69" s="1430"/>
      <c r="Y69" s="1431"/>
      <c r="Z69" s="1432" t="s">
        <v>300</v>
      </c>
      <c r="AA69" s="1430"/>
      <c r="AB69" s="1430"/>
      <c r="AC69" s="1433"/>
      <c r="AD69" s="1429" t="s">
        <v>861</v>
      </c>
      <c r="AE69" s="1430"/>
      <c r="AF69" s="1430"/>
      <c r="AG69" s="1430"/>
      <c r="AH69" s="1429" t="s">
        <v>897</v>
      </c>
      <c r="AI69" s="1430"/>
      <c r="AJ69" s="1430"/>
      <c r="AK69" s="1430"/>
      <c r="AL69" s="33"/>
      <c r="AM69" t="str">
        <f t="shared" ref="AM69:AM76" si="52">P69</f>
        <v>2017-18</v>
      </c>
      <c r="AO69" s="1432" t="s">
        <v>859</v>
      </c>
      <c r="AP69" s="1430"/>
      <c r="AQ69" s="1430"/>
      <c r="AR69" s="1433"/>
      <c r="AS69" s="1429" t="s">
        <v>1099</v>
      </c>
      <c r="AT69" s="1430"/>
      <c r="AU69" s="1430"/>
      <c r="AV69" s="1431"/>
      <c r="AW69" s="1432" t="s">
        <v>300</v>
      </c>
      <c r="AX69" s="1430"/>
      <c r="AY69" s="1430"/>
      <c r="AZ69" s="1433"/>
      <c r="BA69" s="1429" t="s">
        <v>861</v>
      </c>
      <c r="BB69" s="1430"/>
      <c r="BC69" s="1430"/>
      <c r="BD69" s="1430"/>
      <c r="BE69" s="1429" t="s">
        <v>897</v>
      </c>
      <c r="BF69" s="1430"/>
      <c r="BG69" s="1430"/>
      <c r="BH69" s="1430"/>
      <c r="BK69" s="1" t="str">
        <f t="shared" si="1"/>
        <v>2017-18</v>
      </c>
      <c r="BL69" s="690">
        <f t="shared" si="2"/>
        <v>0</v>
      </c>
      <c r="BM69" s="429">
        <f t="shared" ref="BM69:BN77" si="53">IF(AND($BL69&gt;=250000,($BL69&lt;500000)),($BL69-250000)*0.05)+IF(AND($BL69&gt;=500000,$BL69&lt;1000000),(12500+($BL69-500000)*0.2))+IF($BL69&gt;=1000000,(112500+($BL69-1000000)*0.3))</f>
        <v>0</v>
      </c>
      <c r="BN69" s="1">
        <f t="shared" si="53"/>
        <v>0</v>
      </c>
      <c r="BO69" s="1">
        <f t="shared" ref="BO69:BO77" si="54">IF(AND($BL69&gt;=300000,($BL69&lt;500000)),($BL69-300000)*0.05)+IF(AND($BL69&gt;=500000,$BL69&lt;1000000),(10000+($BL69-500000)*0.2))+IF($BL69&gt;=1000000,(110000+($BL69-1000000)*0.3))</f>
        <v>0</v>
      </c>
      <c r="BP69" s="430">
        <f t="shared" si="33"/>
        <v>0</v>
      </c>
      <c r="BQ69" s="429">
        <f>IF($BL69&lt;350001,MIN(BM69,2500),0)</f>
        <v>0</v>
      </c>
      <c r="BR69" s="1">
        <f t="shared" ref="BR69:BS69" si="55">IF($BL69&lt;350001,MIN(BN69,2500),0)</f>
        <v>0</v>
      </c>
      <c r="BS69" s="1">
        <f t="shared" si="55"/>
        <v>0</v>
      </c>
      <c r="BT69" s="430"/>
      <c r="BU69" s="529"/>
      <c r="BV69" s="1"/>
      <c r="BW69" s="1"/>
      <c r="BX69" s="187"/>
      <c r="BY69" s="704">
        <f t="shared" si="47"/>
        <v>0</v>
      </c>
      <c r="BZ69" s="705">
        <f t="shared" si="48"/>
        <v>0</v>
      </c>
      <c r="CA69" s="705">
        <f t="shared" si="49"/>
        <v>0</v>
      </c>
      <c r="CB69" s="706">
        <f t="shared" si="50"/>
        <v>0</v>
      </c>
      <c r="CC69" s="529">
        <f t="shared" si="20"/>
        <v>0</v>
      </c>
      <c r="CD69" s="1">
        <f t="shared" si="21"/>
        <v>0</v>
      </c>
      <c r="CE69" s="1">
        <f t="shared" si="22"/>
        <v>0</v>
      </c>
      <c r="CF69" s="1">
        <f t="shared" si="23"/>
        <v>0</v>
      </c>
      <c r="CJ69" s="23" t="str">
        <f t="shared" si="24"/>
        <v>2017-18</v>
      </c>
      <c r="CK69" s="690">
        <f t="shared" si="25"/>
        <v>0</v>
      </c>
      <c r="CL69" s="429">
        <f t="shared" ref="CL69:CM77" si="56">IF(AND($CK69&gt;=250000,($CK69&lt;500000)),($CK69-250000)*0.05)+IF(AND($CK69&gt;=500000,$CK69&lt;1000000),(12500+($CK69-500000)*0.2))+IF($CK69&gt;=1000000,(112500+($CK69-1000000)*0.3))</f>
        <v>0</v>
      </c>
      <c r="CM69" s="1">
        <f t="shared" si="56"/>
        <v>0</v>
      </c>
      <c r="CN69" s="1">
        <f t="shared" ref="CN69:CN77" si="57">IF(AND($CK69&gt;=300000,($CK69&lt;500000)),($CK69-300000)*0.05)+IF(AND($CK69&gt;=500000,$CK69&lt;1000000),(10000+($CK69-500000)*0.2))+IF($CK69&gt;=1000000,(110000+($CK69-1000000)*0.3))</f>
        <v>0</v>
      </c>
      <c r="CO69" s="430">
        <f t="shared" si="39"/>
        <v>0</v>
      </c>
      <c r="CP69" s="429">
        <f t="shared" ref="CP69:CR70" si="58">IF($CK69&lt;350001,MIN(CL69,2500),0)</f>
        <v>0</v>
      </c>
      <c r="CQ69" s="1">
        <f t="shared" si="58"/>
        <v>0</v>
      </c>
      <c r="CR69" s="1">
        <f t="shared" si="58"/>
        <v>0</v>
      </c>
      <c r="CS69" s="430"/>
      <c r="CT69" s="529"/>
      <c r="CU69" s="1"/>
      <c r="CV69" s="1"/>
      <c r="CW69" s="187"/>
      <c r="CX69" s="429">
        <f t="shared" si="51"/>
        <v>0</v>
      </c>
      <c r="CY69" s="1">
        <f t="shared" si="40"/>
        <v>0</v>
      </c>
      <c r="CZ69" s="1">
        <f t="shared" si="41"/>
        <v>0</v>
      </c>
      <c r="DA69" s="430">
        <f t="shared" si="42"/>
        <v>0</v>
      </c>
      <c r="DB69" s="529">
        <f t="shared" si="26"/>
        <v>0</v>
      </c>
      <c r="DC69" s="1">
        <f t="shared" si="8"/>
        <v>0</v>
      </c>
      <c r="DD69" s="1">
        <f t="shared" si="9"/>
        <v>0</v>
      </c>
      <c r="DE69" s="1">
        <f t="shared" si="10"/>
        <v>0</v>
      </c>
      <c r="DG69" s="945">
        <v>1</v>
      </c>
      <c r="DH69" s="945">
        <f t="shared" si="11"/>
        <v>0</v>
      </c>
      <c r="DI69" s="945">
        <f t="shared" si="12"/>
        <v>0</v>
      </c>
    </row>
    <row r="70" spans="1:115" ht="15.4" customHeight="1" x14ac:dyDescent="0.25">
      <c r="A70" s="1414" t="s">
        <v>517</v>
      </c>
      <c r="B70" s="1415"/>
      <c r="C70" s="1416"/>
      <c r="D70" s="333">
        <f>IFERROR(INDEX(DATA!$D$59:$D$71,MATCH(A70,DATA!$C$59:$C$71,0),1),0)</f>
        <v>0</v>
      </c>
      <c r="E70" s="333">
        <f>IFERROR(INDEX(DATA!$E$59:$E$71,MATCH(A70,DATA!$C$59:$C$71,0),1),0)</f>
        <v>0</v>
      </c>
      <c r="F70" s="333">
        <f t="shared" si="13"/>
        <v>0</v>
      </c>
      <c r="G70" s="333">
        <f t="shared" si="14"/>
        <v>0</v>
      </c>
      <c r="H70" s="333">
        <f t="shared" si="15"/>
        <v>0</v>
      </c>
      <c r="I70" s="333">
        <f t="shared" si="16"/>
        <v>0</v>
      </c>
      <c r="O70">
        <v>8</v>
      </c>
      <c r="P70" s="702" t="str">
        <f t="shared" si="0"/>
        <v>2018-19</v>
      </c>
      <c r="R70" s="429" t="s">
        <v>855</v>
      </c>
      <c r="S70" s="1" t="s">
        <v>856</v>
      </c>
      <c r="T70" s="1" t="s">
        <v>857</v>
      </c>
      <c r="U70" s="430" t="s">
        <v>858</v>
      </c>
      <c r="V70" s="529" t="s">
        <v>855</v>
      </c>
      <c r="W70" s="1" t="s">
        <v>856</v>
      </c>
      <c r="X70" s="1" t="s">
        <v>857</v>
      </c>
      <c r="Y70" s="187" t="s">
        <v>858</v>
      </c>
      <c r="Z70" s="429" t="s">
        <v>855</v>
      </c>
      <c r="AA70" s="1" t="s">
        <v>856</v>
      </c>
      <c r="AB70" s="1" t="s">
        <v>857</v>
      </c>
      <c r="AC70" s="430" t="s">
        <v>858</v>
      </c>
      <c r="AD70" s="529" t="s">
        <v>855</v>
      </c>
      <c r="AE70" s="1" t="s">
        <v>856</v>
      </c>
      <c r="AF70" s="1" t="s">
        <v>857</v>
      </c>
      <c r="AG70" s="1" t="s">
        <v>858</v>
      </c>
      <c r="AH70" s="529" t="s">
        <v>855</v>
      </c>
      <c r="AI70" s="1" t="s">
        <v>856</v>
      </c>
      <c r="AJ70" s="1" t="s">
        <v>857</v>
      </c>
      <c r="AK70" s="1" t="s">
        <v>858</v>
      </c>
      <c r="AL70" s="33"/>
      <c r="AM70" t="str">
        <f t="shared" si="52"/>
        <v>2018-19</v>
      </c>
      <c r="AO70" s="429" t="s">
        <v>855</v>
      </c>
      <c r="AP70" s="1" t="s">
        <v>856</v>
      </c>
      <c r="AQ70" s="1" t="s">
        <v>857</v>
      </c>
      <c r="AR70" s="430" t="s">
        <v>858</v>
      </c>
      <c r="AS70" s="679" t="s">
        <v>855</v>
      </c>
      <c r="AT70" s="629" t="s">
        <v>856</v>
      </c>
      <c r="AU70" s="629" t="s">
        <v>857</v>
      </c>
      <c r="AV70" s="680" t="s">
        <v>858</v>
      </c>
      <c r="AW70" s="681" t="s">
        <v>855</v>
      </c>
      <c r="AX70" s="629" t="s">
        <v>856</v>
      </c>
      <c r="AY70" s="629" t="s">
        <v>857</v>
      </c>
      <c r="AZ70" s="682" t="s">
        <v>858</v>
      </c>
      <c r="BA70" s="529" t="s">
        <v>855</v>
      </c>
      <c r="BB70" s="1" t="s">
        <v>856</v>
      </c>
      <c r="BC70" s="1" t="s">
        <v>857</v>
      </c>
      <c r="BD70" s="1" t="s">
        <v>858</v>
      </c>
      <c r="BE70" s="529" t="s">
        <v>855</v>
      </c>
      <c r="BF70" s="1" t="s">
        <v>856</v>
      </c>
      <c r="BG70" s="1" t="s">
        <v>857</v>
      </c>
      <c r="BH70" s="1" t="s">
        <v>858</v>
      </c>
      <c r="BK70" s="1" t="str">
        <f t="shared" si="1"/>
        <v>2018-19</v>
      </c>
      <c r="BL70" s="690">
        <f t="shared" si="2"/>
        <v>0</v>
      </c>
      <c r="BM70" s="429">
        <f t="shared" si="53"/>
        <v>0</v>
      </c>
      <c r="BN70" s="1">
        <f t="shared" si="53"/>
        <v>0</v>
      </c>
      <c r="BO70" s="1">
        <f t="shared" si="54"/>
        <v>0</v>
      </c>
      <c r="BP70" s="430">
        <f t="shared" si="33"/>
        <v>0</v>
      </c>
      <c r="BQ70" s="429">
        <f>IF($BL70&lt;350001,MIN(BM70,2500),0)</f>
        <v>0</v>
      </c>
      <c r="BR70" s="1">
        <f t="shared" ref="BR70" si="59">IF($BL70&lt;350001,MIN(BN70,2500),0)</f>
        <v>0</v>
      </c>
      <c r="BS70" s="1">
        <f t="shared" ref="BS70" si="60">IF($BL70&lt;350001,MIN(BO70,2500),0)</f>
        <v>0</v>
      </c>
      <c r="BT70" s="430"/>
      <c r="BU70" s="529">
        <f>ROUND((IF($BL70&lt;5000001,0,(IF($BL70&lt;10000001,(MIN((BM70*0.1),((BM70-5000000)*0.7))),((IF($BL70&gt;10000001,(MIN((($BL70-10000000)*0.7+281250),(BM70*0.15)))))))))),0)</f>
        <v>0</v>
      </c>
      <c r="BV70" s="529">
        <f t="shared" ref="BV70:BW70" si="61">ROUND((IF($BL70&lt;5000001,0,(IF($BL70&lt;10000001,(MIN((BN70*0.1),((BN70-5000000)*0.7))),((IF($BL70&gt;10000001,(MIN((($BL70-10000000)*0.7+281250),(BN70*0.15)))))))))),0)</f>
        <v>0</v>
      </c>
      <c r="BW70" s="529">
        <f t="shared" si="61"/>
        <v>0</v>
      </c>
      <c r="BX70" s="529">
        <f>ROUND((IF($BL70&lt;5000001,0,(IF($BL70&lt;10000001,(MIN((BP70*0.1),((BP70-5000000)*0.7))),((IF($BL70&gt;10000001,(MIN((($BL70-10000000)*0.7+281250),(BP70*0.15)))))))))),0)</f>
        <v>0</v>
      </c>
      <c r="BY70" s="429">
        <f>ROUND((BM70-BQ70)*4%,0)</f>
        <v>0</v>
      </c>
      <c r="BZ70" s="1">
        <f t="shared" ref="BZ70:CB70" si="62">ROUND((BN70-BR70)*4%,0)</f>
        <v>0</v>
      </c>
      <c r="CA70" s="1">
        <f t="shared" si="62"/>
        <v>0</v>
      </c>
      <c r="CB70" s="430">
        <f t="shared" si="62"/>
        <v>0</v>
      </c>
      <c r="CC70" s="529">
        <f t="shared" si="20"/>
        <v>0</v>
      </c>
      <c r="CD70" s="1">
        <f t="shared" si="21"/>
        <v>0</v>
      </c>
      <c r="CE70" s="1">
        <f t="shared" si="22"/>
        <v>0</v>
      </c>
      <c r="CF70" s="1">
        <f t="shared" si="23"/>
        <v>0</v>
      </c>
      <c r="CJ70" s="23" t="str">
        <f t="shared" si="24"/>
        <v>2018-19</v>
      </c>
      <c r="CK70" s="690">
        <f t="shared" si="25"/>
        <v>0</v>
      </c>
      <c r="CL70" s="429">
        <f t="shared" si="56"/>
        <v>0</v>
      </c>
      <c r="CM70" s="1">
        <f t="shared" si="56"/>
        <v>0</v>
      </c>
      <c r="CN70" s="1">
        <f t="shared" si="57"/>
        <v>0</v>
      </c>
      <c r="CO70" s="430">
        <f t="shared" si="39"/>
        <v>0</v>
      </c>
      <c r="CP70" s="429">
        <f t="shared" si="58"/>
        <v>0</v>
      </c>
      <c r="CQ70" s="1">
        <f t="shared" si="58"/>
        <v>0</v>
      </c>
      <c r="CR70" s="1">
        <f t="shared" si="58"/>
        <v>0</v>
      </c>
      <c r="CS70" s="430"/>
      <c r="CT70" s="529">
        <f t="shared" ref="CT70:CW76" si="63">ROUND((IF($CK70&lt;5000001,0,(IF($CK70&lt;10000001,(MIN((CL70*0.1),((CL70-5000000)*0.7))),((IF($CK70&gt;10000001,(MIN((($CK70-10000000)*0.7+281250),(CL70*0.15)))))))))),0)</f>
        <v>0</v>
      </c>
      <c r="CU70" s="529">
        <f t="shared" si="63"/>
        <v>0</v>
      </c>
      <c r="CV70" s="529">
        <f t="shared" si="63"/>
        <v>0</v>
      </c>
      <c r="CW70" s="529">
        <f t="shared" si="63"/>
        <v>0</v>
      </c>
      <c r="CX70" s="429">
        <f>ROUND((CL70-CP70)*4%,0)</f>
        <v>0</v>
      </c>
      <c r="CY70" s="1">
        <f t="shared" ref="CY70:CY76" si="64">ROUND((CM70-CQ70)*4%,0)</f>
        <v>0</v>
      </c>
      <c r="CZ70" s="1">
        <f t="shared" ref="CZ70:CZ76" si="65">ROUND((CN70-CR70)*4%,0)</f>
        <v>0</v>
      </c>
      <c r="DA70" s="430">
        <f t="shared" ref="DA70:DA76" si="66">ROUND((CO70-CS70)*4%,0)</f>
        <v>0</v>
      </c>
      <c r="DB70" s="529">
        <f t="shared" si="26"/>
        <v>0</v>
      </c>
      <c r="DC70" s="1">
        <f t="shared" si="8"/>
        <v>0</v>
      </c>
      <c r="DD70" s="1">
        <f t="shared" si="9"/>
        <v>0</v>
      </c>
      <c r="DE70" s="1">
        <f t="shared" si="10"/>
        <v>0</v>
      </c>
      <c r="DG70" s="945">
        <v>1</v>
      </c>
      <c r="DH70" s="945">
        <f t="shared" si="11"/>
        <v>0</v>
      </c>
      <c r="DI70" s="945">
        <f t="shared" si="12"/>
        <v>0</v>
      </c>
    </row>
    <row r="71" spans="1:115" ht="15.4" customHeight="1" x14ac:dyDescent="0.25">
      <c r="A71" s="1414" t="s">
        <v>516</v>
      </c>
      <c r="B71" s="1415"/>
      <c r="C71" s="1416"/>
      <c r="D71" s="333">
        <f>IFERROR(INDEX(DATA!$D$59:$D$71,MATCH(A71,DATA!$C$59:$C$71,0),1),0)</f>
        <v>0</v>
      </c>
      <c r="E71" s="333">
        <f>IFERROR(INDEX(DATA!$E$59:$E$71,MATCH(A71,DATA!$C$59:$C$71,0),1),0)</f>
        <v>0</v>
      </c>
      <c r="F71" s="333">
        <f t="shared" si="13"/>
        <v>0</v>
      </c>
      <c r="G71" s="333">
        <f t="shared" si="14"/>
        <v>0</v>
      </c>
      <c r="H71" s="333">
        <f t="shared" si="15"/>
        <v>0</v>
      </c>
      <c r="I71" s="333">
        <f t="shared" si="16"/>
        <v>0</v>
      </c>
      <c r="O71">
        <v>9</v>
      </c>
      <c r="P71" s="702" t="str">
        <f t="shared" si="0"/>
        <v>2019-20</v>
      </c>
      <c r="R71" s="429"/>
      <c r="S71" s="1"/>
      <c r="T71" s="1"/>
      <c r="U71" s="430"/>
      <c r="V71" s="529"/>
      <c r="W71" s="1"/>
      <c r="X71" s="1"/>
      <c r="Y71" s="187"/>
      <c r="Z71" s="429"/>
      <c r="AA71" s="1"/>
      <c r="AB71" s="1"/>
      <c r="AC71" s="430"/>
      <c r="AD71" s="529"/>
      <c r="AE71" s="1"/>
      <c r="AF71" s="1"/>
      <c r="AG71" s="1"/>
      <c r="AL71" s="33"/>
      <c r="AM71" t="str">
        <f t="shared" si="52"/>
        <v>2019-20</v>
      </c>
      <c r="AO71" s="678"/>
      <c r="AP71" s="573"/>
      <c r="AQ71" s="573"/>
      <c r="AR71" s="431"/>
      <c r="AS71" s="543"/>
      <c r="AT71" s="573"/>
      <c r="AU71" s="573"/>
      <c r="AV71" s="542"/>
      <c r="AW71" s="678"/>
      <c r="AX71" s="573"/>
      <c r="AY71" s="573"/>
      <c r="AZ71" s="431"/>
      <c r="BA71" s="543"/>
      <c r="BB71" s="573"/>
      <c r="BC71" s="573"/>
      <c r="BD71" s="573"/>
      <c r="BK71" s="1" t="str">
        <f t="shared" si="1"/>
        <v>2019-20</v>
      </c>
      <c r="BL71" s="690">
        <f t="shared" si="2"/>
        <v>0</v>
      </c>
      <c r="BM71" s="429">
        <f t="shared" si="53"/>
        <v>0</v>
      </c>
      <c r="BN71" s="1">
        <f t="shared" si="53"/>
        <v>0</v>
      </c>
      <c r="BO71" s="1">
        <f t="shared" si="54"/>
        <v>0</v>
      </c>
      <c r="BP71" s="430">
        <f t="shared" si="33"/>
        <v>0</v>
      </c>
      <c r="BQ71" s="687">
        <f>IF($BL71&lt;500001,MIN(BM71,12500),0)</f>
        <v>0</v>
      </c>
      <c r="BR71" s="464">
        <f t="shared" ref="BR71:BS71" si="67">IF($BL71&lt;500001,MIN(BN71,12500),0)</f>
        <v>0</v>
      </c>
      <c r="BS71" s="464">
        <f t="shared" si="67"/>
        <v>0</v>
      </c>
      <c r="BT71" s="430"/>
      <c r="BU71" s="529">
        <f t="shared" ref="BU71:BU75" si="68">ROUND((IF($BL71&lt;5000001,0,(IF($BL71&lt;10000001,(MIN((BM71*0.1),((BM71-5000000)*0.7))),((IF($BL71&gt;10000001,(MIN((($BL71-10000000)*0.7+281250),(BM71*0.15)))))))))),0)</f>
        <v>0</v>
      </c>
      <c r="BV71" s="529">
        <f t="shared" ref="BV71:BV75" si="69">ROUND((IF($BL71&lt;5000001,0,(IF($BL71&lt;10000001,(MIN((BN71*0.1),((BN71-5000000)*0.7))),((IF($BL71&gt;10000001,(MIN((($BL71-10000000)*0.7+281250),(BN71*0.15)))))))))),0)</f>
        <v>0</v>
      </c>
      <c r="BW71" s="529">
        <f t="shared" ref="BW71:BW75" si="70">ROUND((IF($BL71&lt;5000001,0,(IF($BL71&lt;10000001,(MIN((BO71*0.1),((BO71-5000000)*0.7))),((IF($BL71&gt;10000001,(MIN((($BL71-10000000)*0.7+281250),(BO71*0.15)))))))))),0)</f>
        <v>0</v>
      </c>
      <c r="BX71" s="529">
        <f t="shared" ref="BX71:BX75" si="71">ROUND((IF($BL71&lt;5000001,0,(IF($BL71&lt;10000001,(MIN((BP71*0.1),((BP71-5000000)*0.7))),((IF($BL71&gt;10000001,(MIN((($BL71-10000000)*0.7+281250),(BP71*0.15)))))))))),0)</f>
        <v>0</v>
      </c>
      <c r="BY71" s="429">
        <f t="shared" ref="BY71:BY75" si="72">ROUND((BM71-BQ71)*4%,0)</f>
        <v>0</v>
      </c>
      <c r="BZ71" s="1">
        <f t="shared" ref="BZ71:BZ75" si="73">ROUND((BN71-BR71)*4%,0)</f>
        <v>0</v>
      </c>
      <c r="CA71" s="1">
        <f t="shared" ref="CA71:CA75" si="74">ROUND((BO71-BS71)*4%,0)</f>
        <v>0</v>
      </c>
      <c r="CB71" s="430">
        <f t="shared" ref="CB71:CB75" si="75">ROUND((BP71-BT71)*4%,0)</f>
        <v>0</v>
      </c>
      <c r="CC71" s="529">
        <f>SUM(BM71+BU71+BY71-BQ71)</f>
        <v>0</v>
      </c>
      <c r="CD71" s="1">
        <f t="shared" si="21"/>
        <v>0</v>
      </c>
      <c r="CE71" s="1">
        <f t="shared" si="22"/>
        <v>0</v>
      </c>
      <c r="CF71" s="1">
        <f t="shared" si="23"/>
        <v>0</v>
      </c>
      <c r="CJ71" s="23" t="str">
        <f t="shared" si="24"/>
        <v>2019-20</v>
      </c>
      <c r="CK71" s="690">
        <f t="shared" si="25"/>
        <v>0</v>
      </c>
      <c r="CL71" s="429">
        <f t="shared" si="56"/>
        <v>0</v>
      </c>
      <c r="CM71" s="1">
        <f t="shared" si="56"/>
        <v>0</v>
      </c>
      <c r="CN71" s="1">
        <f t="shared" si="57"/>
        <v>0</v>
      </c>
      <c r="CO71" s="430">
        <f t="shared" si="39"/>
        <v>0</v>
      </c>
      <c r="CP71" s="687">
        <f t="shared" ref="CP71:CR76" si="76">IF($CK71&lt;500001,MIN(CL71,12500),0)</f>
        <v>0</v>
      </c>
      <c r="CQ71" s="464">
        <f t="shared" si="76"/>
        <v>0</v>
      </c>
      <c r="CR71" s="464">
        <f t="shared" si="76"/>
        <v>0</v>
      </c>
      <c r="CS71" s="430"/>
      <c r="CT71" s="529">
        <f t="shared" si="63"/>
        <v>0</v>
      </c>
      <c r="CU71" s="529">
        <f t="shared" si="63"/>
        <v>0</v>
      </c>
      <c r="CV71" s="529">
        <f t="shared" si="63"/>
        <v>0</v>
      </c>
      <c r="CW71" s="529">
        <f t="shared" si="63"/>
        <v>0</v>
      </c>
      <c r="CX71" s="429">
        <f t="shared" ref="CX71:CX76" si="77">ROUND((CL71-CP71)*4%,0)</f>
        <v>0</v>
      </c>
      <c r="CY71" s="1">
        <f t="shared" si="64"/>
        <v>0</v>
      </c>
      <c r="CZ71" s="1">
        <f t="shared" si="65"/>
        <v>0</v>
      </c>
      <c r="DA71" s="430">
        <f t="shared" si="66"/>
        <v>0</v>
      </c>
      <c r="DB71" s="529">
        <f>SUM(CL71+CT71+CX71-CP71)</f>
        <v>0</v>
      </c>
      <c r="DC71" s="1">
        <f t="shared" si="8"/>
        <v>0</v>
      </c>
      <c r="DD71" s="1">
        <f t="shared" si="9"/>
        <v>0</v>
      </c>
      <c r="DE71" s="1">
        <f t="shared" si="10"/>
        <v>0</v>
      </c>
      <c r="DG71" s="945">
        <v>1</v>
      </c>
      <c r="DH71" s="945">
        <f t="shared" si="11"/>
        <v>0</v>
      </c>
      <c r="DI71" s="945">
        <f t="shared" si="12"/>
        <v>0</v>
      </c>
    </row>
    <row r="72" spans="1:115" ht="15.4" customHeight="1" x14ac:dyDescent="0.25">
      <c r="A72" s="1414" t="s">
        <v>534</v>
      </c>
      <c r="B72" s="1415"/>
      <c r="C72" s="1416"/>
      <c r="D72" s="333">
        <f>IFERROR(INDEX(DATA!$D$59:$D$71,MATCH(A72,DATA!$C$59:$C$71,0),1),0)</f>
        <v>0</v>
      </c>
      <c r="E72" s="333">
        <f>IFERROR(INDEX(DATA!$E$59:$E$71,MATCH(A72,DATA!$C$59:$C$71,0),1),0)</f>
        <v>0</v>
      </c>
      <c r="F72" s="333">
        <f t="shared" si="13"/>
        <v>0</v>
      </c>
      <c r="G72" s="333">
        <f t="shared" si="14"/>
        <v>0</v>
      </c>
      <c r="H72" s="333">
        <f t="shared" si="15"/>
        <v>0</v>
      </c>
      <c r="I72" s="333">
        <f t="shared" si="16"/>
        <v>0</v>
      </c>
      <c r="O72">
        <v>10</v>
      </c>
      <c r="P72" s="22" t="str">
        <f t="shared" si="0"/>
        <v>2020-21</v>
      </c>
      <c r="Q72" s="316">
        <f>D72</f>
        <v>0</v>
      </c>
      <c r="R72" s="657">
        <f>IF($Q$72&gt;1500000,187500+(($Q$72-1500000)*0.3),IF($Q$72&gt;1250000,125000+(($Q$72-1250000)*0.25),IF($Q$72&gt;1000000,75000+(($Q$72-1000000)*0.2),IF($Q$72&gt;750000,37500+(($Q$72-750000)*0.15),IF($Q$72&gt;500000,12500+(($Q$72-500000)*0.1),IF($Q$72&gt;250000,($Q$72-250000)*0.05,0))))))</f>
        <v>0</v>
      </c>
      <c r="S72" s="658">
        <f>IF($Q$72&gt;1500000,187500+(($Q$72-1500000)*0.3),IF($Q$72&gt;1250000,125000+(($Q$72-1250000)*0.25),IF($Q$72&gt;1000000,75000+(($Q$72-1000000)*0.2),IF($Q$72&gt;750000,37500+(($Q$72-750000)*0.15),IF($Q$72&gt;500000,12500+(($Q$72-500000)*0.1),IF($Q$72&gt;250000,($Q$72-250000)*0.05,0))))))</f>
        <v>0</v>
      </c>
      <c r="T72" s="658">
        <f>IF($Q$72&gt;1500000,187500+(($Q$72-1500000)*0.3),IF($Q$72&gt;1250000,125000+(($Q$72-1250000)*0.25),IF($Q$72&gt;1000000,75000+(($Q$72-1000000)*0.2),IF($Q$72&gt;750000,37500+(($Q$72-750000)*0.15),IF($Q$72&gt;500000,12500+(($Q$72-500000)*0.1),IF($Q$72&gt;250000,($Q$72-250000)*0.05,0))))))</f>
        <v>0</v>
      </c>
      <c r="U72" s="659">
        <f>IF($Q$72&gt;1500000,187500+(($Q$72-1500000)*0.3),IF($Q$72&gt;1250000,125000+(($Q$72-1250000)*0.25),IF($Q$72&gt;1000000,75000+(($Q$72-1000000)*0.2),IF($Q$72&gt;750000,37500+(($Q$72-750000)*0.15),IF($Q$72&gt;500000,12500+(($Q$72-500000)*0.1),IF($Q$72&gt;250000,($Q$72-250000)*0.05,0))))))</f>
        <v>0</v>
      </c>
      <c r="V72" s="656">
        <f t="shared" ref="V72:Y74" si="78">IF($Q72&lt;500001,MIN(R72,12500),0)</f>
        <v>0</v>
      </c>
      <c r="W72" s="656">
        <f t="shared" si="78"/>
        <v>0</v>
      </c>
      <c r="X72" s="656">
        <f t="shared" si="78"/>
        <v>0</v>
      </c>
      <c r="Y72" s="664">
        <f t="shared" si="78"/>
        <v>0</v>
      </c>
      <c r="Z72" s="655">
        <f t="shared" ref="Z72:AC76" si="79">ROUND((IF($Q72&lt;5000001,0,(IF($Q72&lt;10000001,(MIN((R72*0.1),(($Q72-5000000)*0.7))),((IF($Q72&gt;10000001,(MIN((($Q72-10000000)*0.7+281250),(R72*0.15)))))))))),0)</f>
        <v>0</v>
      </c>
      <c r="AA72" s="655">
        <f t="shared" si="79"/>
        <v>0</v>
      </c>
      <c r="AB72" s="655">
        <f t="shared" si="79"/>
        <v>0</v>
      </c>
      <c r="AC72" s="655">
        <f t="shared" si="79"/>
        <v>0</v>
      </c>
      <c r="AD72" s="656">
        <f>ROUND((R72+Z72-V72)*4%,0)</f>
        <v>0</v>
      </c>
      <c r="AE72" s="656">
        <f t="shared" ref="AE72:AG72" si="80">ROUND((S72+AA72-W72)*4%,0)</f>
        <v>0</v>
      </c>
      <c r="AF72" s="656">
        <f t="shared" si="80"/>
        <v>0</v>
      </c>
      <c r="AG72" s="656">
        <f t="shared" si="80"/>
        <v>0</v>
      </c>
      <c r="AH72" s="389">
        <f t="shared" ref="AH72:AH75" si="81">AD72+Z72+R72-V72</f>
        <v>0</v>
      </c>
      <c r="AI72" s="389">
        <f t="shared" ref="AI72:AI76" si="82">AE72+AA72+S72-W72</f>
        <v>0</v>
      </c>
      <c r="AJ72" s="389">
        <f t="shared" ref="AJ72:AJ76" si="83">AF72+AB72+T72-X72</f>
        <v>0</v>
      </c>
      <c r="AK72" s="389">
        <f t="shared" ref="AK72:AK76" si="84">AG72+AC72+U72-Y72</f>
        <v>0</v>
      </c>
      <c r="AL72" s="33"/>
      <c r="AM72" t="str">
        <f t="shared" si="52"/>
        <v>2020-21</v>
      </c>
      <c r="AN72" s="316">
        <f>IFERROR(F72,0)</f>
        <v>0</v>
      </c>
      <c r="AO72" s="1">
        <f>IF($AN$72&gt;1500000,187500+(($AN$72-1500000)*0.3),IF($AN$72&gt;1250000,125000+(($AN$72-1250000)*0.25),IF($AN$72&gt;1000000,75000+(($AN$72-1000000)*0.2),IF($AN$72&gt;750000,37500+(($AN$72-750000)*0.15),IF($AN$72&gt;500000,12500+(($AN$72-500000)*0.1),IF($AN$72&gt;250000,($AN$72-250000)*0.05,0))))))</f>
        <v>0</v>
      </c>
      <c r="AP72" s="1">
        <f>IF($AN$72&gt;1500000,187500+(($AN$72-1500000)*0.3),IF($AN$72&gt;1250000,125000+(($AN$72-1250000)*0.25),IF($AN$72&gt;1000000,75000+(($AN$72-1000000)*0.2),IF($AN$72&gt;750000,37500+(($AN$72-750000)*0.15),IF($AN$72&gt;500000,12500+(($AN$72-500000)*0.1),IF($AN$72&gt;250000,($AN$72-250000)*0.05,0))))))</f>
        <v>0</v>
      </c>
      <c r="AQ72" s="1">
        <f>IF($AN$72&gt;1500000,187500+(($AN$72-1500000)*0.3),IF($AN$72&gt;1250000,125000+(($AN$72-1250000)*0.25),IF($AN$72&gt;1000000,75000+(($AN$72-1000000)*0.2),IF($AN$72&gt;750000,37500+(($AN$72-750000)*0.15),IF($AN$72&gt;500000,12500+(($AN$72-500000)*0.1),IF($AN$72&gt;250000,($AN$72-250000)*0.05,0))))))</f>
        <v>0</v>
      </c>
      <c r="AR72" s="1">
        <f>IF($AN$72&gt;1500000,187500+(($AN$72-1500000)*0.3),IF($AN$72&gt;1250000,125000+(($AN$72-1250000)*0.25),IF($AN$72&gt;1000000,75000+(($AN$72-1000000)*0.2),IF($AN$72&gt;750000,37500+(($AN$72-750000)*0.15),IF($AN$72&gt;500000,12500+(($AN$72-500000)*0.1),IF($AN$72&gt;250000,($AN$72-250000)*0.05,0))))))</f>
        <v>0</v>
      </c>
      <c r="AS72" s="1">
        <f t="shared" ref="AS72:AV74" si="85">IF($AN72&lt;500001,MIN(AO72,12500),0)</f>
        <v>0</v>
      </c>
      <c r="AT72" s="1">
        <f t="shared" si="85"/>
        <v>0</v>
      </c>
      <c r="AU72" s="1">
        <f t="shared" si="85"/>
        <v>0</v>
      </c>
      <c r="AV72" s="1">
        <f t="shared" si="85"/>
        <v>0</v>
      </c>
      <c r="AW72" s="1">
        <f>ROUND((IF($AN72&lt;5000001,0,(IF($AN72&lt;10000001,(MIN((AO72*0.1),(($AN72-5000000)*0.7))),((IF($AN72&gt;10000001,(MIN((($AN72-10000000)*0.7+281250),(AO72*0.15)))))))))),0)</f>
        <v>0</v>
      </c>
      <c r="AX72" s="1">
        <f t="shared" ref="AW72:AZ76" si="86">ROUND((IF($AN72&lt;5000001,0,(IF($AN72&lt;10000001,(MIN((AP72*0.1),(($AN72-5000000)*0.7))),((IF($AN72&gt;10000001,(MIN((($AN72-10000000)*0.7+281250),(AP72*0.15)))))))))),0)</f>
        <v>0</v>
      </c>
      <c r="AY72" s="1">
        <f t="shared" si="86"/>
        <v>0</v>
      </c>
      <c r="AZ72" s="1">
        <f t="shared" si="86"/>
        <v>0</v>
      </c>
      <c r="BA72" s="1">
        <f>ROUND((AO72+AW72-AS72)*4%,0)</f>
        <v>0</v>
      </c>
      <c r="BB72" s="1">
        <f t="shared" ref="BB72:BB76" si="87">ROUND((AP72+AX72-AT72)*4%,0)</f>
        <v>0</v>
      </c>
      <c r="BC72" s="1">
        <f t="shared" ref="BC72:BC76" si="88">ROUND((AQ72+AY72-AU72)*4%,0)</f>
        <v>0</v>
      </c>
      <c r="BD72" s="1">
        <f t="shared" ref="BD72:BD76" si="89">ROUND((AR72+AZ72-AV72)*4%,0)</f>
        <v>0</v>
      </c>
      <c r="BE72" s="1">
        <f t="shared" ref="BE72:BE75" si="90">BA72+AW72+AO72-AS72</f>
        <v>0</v>
      </c>
      <c r="BF72" s="1">
        <f t="shared" ref="BF72:BF75" si="91">BB72+AX72+AP72-AT72</f>
        <v>0</v>
      </c>
      <c r="BG72" s="1">
        <f t="shared" ref="BG72:BG75" si="92">BC72+AY72+AQ72-AU72</f>
        <v>0</v>
      </c>
      <c r="BH72" s="1">
        <f t="shared" ref="BH72:BH75" si="93">BD72+AZ72+AR72-AV72</f>
        <v>0</v>
      </c>
      <c r="BK72" s="1" t="str">
        <f t="shared" si="1"/>
        <v>2020-21</v>
      </c>
      <c r="BL72" s="690">
        <f t="shared" si="2"/>
        <v>0</v>
      </c>
      <c r="BM72" s="429">
        <f t="shared" si="53"/>
        <v>0</v>
      </c>
      <c r="BN72" s="1">
        <f t="shared" si="53"/>
        <v>0</v>
      </c>
      <c r="BO72" s="1">
        <f t="shared" si="54"/>
        <v>0</v>
      </c>
      <c r="BP72" s="430">
        <f t="shared" si="33"/>
        <v>0</v>
      </c>
      <c r="BQ72" s="687">
        <f t="shared" ref="BQ72:BQ74" si="94">IF($BL72&lt;500001,MIN(BM72,12500),0)</f>
        <v>0</v>
      </c>
      <c r="BR72" s="464">
        <f t="shared" ref="BR72:BR74" si="95">IF($BL72&lt;500001,MIN(BN72,12500),0)</f>
        <v>0</v>
      </c>
      <c r="BS72" s="464">
        <f t="shared" ref="BS72:BS74" si="96">IF($BL72&lt;500001,MIN(BO72,12500),0)</f>
        <v>0</v>
      </c>
      <c r="BT72" s="430"/>
      <c r="BU72" s="529">
        <f t="shared" si="68"/>
        <v>0</v>
      </c>
      <c r="BV72" s="529">
        <f t="shared" si="69"/>
        <v>0</v>
      </c>
      <c r="BW72" s="529">
        <f t="shared" si="70"/>
        <v>0</v>
      </c>
      <c r="BX72" s="529">
        <f t="shared" si="71"/>
        <v>0</v>
      </c>
      <c r="BY72" s="429">
        <f t="shared" si="72"/>
        <v>0</v>
      </c>
      <c r="BZ72" s="1">
        <f t="shared" si="73"/>
        <v>0</v>
      </c>
      <c r="CA72" s="1">
        <f t="shared" si="74"/>
        <v>0</v>
      </c>
      <c r="CB72" s="430">
        <f t="shared" si="75"/>
        <v>0</v>
      </c>
      <c r="CC72" s="529">
        <f t="shared" ref="CC72:CC75" si="97">SUM(BM72+BU72+BY72-BQ72)</f>
        <v>0</v>
      </c>
      <c r="CD72" s="1">
        <f t="shared" ref="CD72:CD75" si="98">SUM(BN72+BV72+BZ72-BR72)</f>
        <v>0</v>
      </c>
      <c r="CE72" s="1">
        <f t="shared" ref="CE72:CE75" si="99">SUM(BO72+BW72+CA72-BS72)</f>
        <v>0</v>
      </c>
      <c r="CF72" s="1">
        <f t="shared" ref="CF72:CF75" si="100">SUM(BP72+BX72+CB72-BT72)</f>
        <v>0</v>
      </c>
      <c r="CJ72" s="23" t="str">
        <f t="shared" si="24"/>
        <v>2020-21</v>
      </c>
      <c r="CK72" s="690">
        <f t="shared" si="25"/>
        <v>0</v>
      </c>
      <c r="CL72" s="429">
        <f t="shared" si="56"/>
        <v>0</v>
      </c>
      <c r="CM72" s="1">
        <f t="shared" si="56"/>
        <v>0</v>
      </c>
      <c r="CN72" s="1">
        <f t="shared" si="57"/>
        <v>0</v>
      </c>
      <c r="CO72" s="430">
        <f t="shared" si="39"/>
        <v>0</v>
      </c>
      <c r="CP72" s="687">
        <f t="shared" si="76"/>
        <v>0</v>
      </c>
      <c r="CQ72" s="464">
        <f t="shared" si="76"/>
        <v>0</v>
      </c>
      <c r="CR72" s="464">
        <f t="shared" si="76"/>
        <v>0</v>
      </c>
      <c r="CS72" s="430"/>
      <c r="CT72" s="529">
        <f t="shared" si="63"/>
        <v>0</v>
      </c>
      <c r="CU72" s="529">
        <f t="shared" si="63"/>
        <v>0</v>
      </c>
      <c r="CV72" s="529">
        <f t="shared" si="63"/>
        <v>0</v>
      </c>
      <c r="CW72" s="529">
        <f t="shared" si="63"/>
        <v>0</v>
      </c>
      <c r="CX72" s="429">
        <f t="shared" si="77"/>
        <v>0</v>
      </c>
      <c r="CY72" s="1">
        <f t="shared" si="64"/>
        <v>0</v>
      </c>
      <c r="CZ72" s="1">
        <f t="shared" si="65"/>
        <v>0</v>
      </c>
      <c r="DA72" s="430">
        <f t="shared" si="66"/>
        <v>0</v>
      </c>
      <c r="DB72" s="529">
        <f t="shared" ref="DB72:DB75" si="101">SUM(CL72+CT72+CX72-CP72)</f>
        <v>0</v>
      </c>
      <c r="DC72" s="1">
        <f t="shared" ref="DC72:DC75" si="102">SUM(CM72+CU72+CY72-CQ72)</f>
        <v>0</v>
      </c>
      <c r="DD72" s="1">
        <f t="shared" ref="DD72:DD75" si="103">SUM(CN72+CV72+CZ72-CR72)</f>
        <v>0</v>
      </c>
      <c r="DE72" s="1">
        <f t="shared" ref="DE72:DE75" si="104">SUM(CO72+CW72+DA72-CS72)</f>
        <v>0</v>
      </c>
      <c r="DG72" s="945">
        <f>IF(DK72=DATA!$BF$4,1,2)</f>
        <v>2</v>
      </c>
      <c r="DH72" s="945">
        <f t="shared" si="11"/>
        <v>0</v>
      </c>
      <c r="DI72" s="945">
        <f t="shared" si="12"/>
        <v>0</v>
      </c>
      <c r="DK72" s="420" t="str">
        <f>TRIM(DATA!G68)</f>
        <v>New Tax Regime</v>
      </c>
    </row>
    <row r="73" spans="1:115" ht="15.4" customHeight="1" x14ac:dyDescent="0.25">
      <c r="A73" s="1414" t="s">
        <v>548</v>
      </c>
      <c r="B73" s="1415"/>
      <c r="C73" s="1416"/>
      <c r="D73" s="333">
        <f>IFERROR(INDEX(DATA!$D$59:$D$71,MATCH(A73,DATA!$C$59:$C$71,0),1),0)</f>
        <v>0</v>
      </c>
      <c r="E73" s="333">
        <f>IFERROR(INDEX(DATA!$E$59:$E$71,MATCH(A73,DATA!$C$59:$C$71,0),1),0)</f>
        <v>0</v>
      </c>
      <c r="F73" s="333">
        <f t="shared" si="13"/>
        <v>0</v>
      </c>
      <c r="G73" s="333">
        <f t="shared" si="14"/>
        <v>0</v>
      </c>
      <c r="H73" s="333">
        <f t="shared" si="15"/>
        <v>0</v>
      </c>
      <c r="I73" s="333">
        <f t="shared" si="16"/>
        <v>0</v>
      </c>
      <c r="O73">
        <v>11</v>
      </c>
      <c r="P73" s="22" t="str">
        <f t="shared" si="0"/>
        <v>2021-22</v>
      </c>
      <c r="Q73" s="316">
        <f>D73</f>
        <v>0</v>
      </c>
      <c r="R73" s="660">
        <f>IF($Q$73&gt;1500000,187500+(($Q$73-1500000)*0.3),IF($Q$73&gt;1250000,125000+(($Q$73-1250000)*0.25),IF($Q$73&gt;1000000,75000+(($Q$73-1000000)*0.2),IF($Q$73&gt;750000,37500+(($Q$73-750000)*0.15),IF($Q$73&gt;500000,12500+(($Q$73-500000)*0.1),IF($Q$73&gt;250000,($Q$73-250000)*0.05,0))))))</f>
        <v>0</v>
      </c>
      <c r="S73" s="661">
        <f>IF($Q$73&gt;1500000,187500+(($Q$73-1500000)*0.3),IF($Q$73&gt;1250000,125000+(($Q$73-1250000)*0.25),IF($Q$73&gt;1000000,75000+(($Q$73-1000000)*0.2),IF($Q$73&gt;750000,37500+(($Q$73-750000)*0.15),IF($Q$73&gt;500000,12500+(($Q$73-500000)*0.1),IF($Q$73&gt;250000,($Q$73-250000)*0.05,0))))))</f>
        <v>0</v>
      </c>
      <c r="T73" s="661">
        <f>IF($Q$73&gt;1500000,187500+(($Q$73-1500000)*0.3),IF($Q$73&gt;1250000,125000+(($Q$73-1250000)*0.25),IF($Q$73&gt;1000000,75000+(($Q$73-1000000)*0.2),IF($Q$73&gt;750000,37500+(($Q$73-750000)*0.15),IF($Q$73&gt;500000,12500+(($Q$73-500000)*0.1),IF($Q$73&gt;250000,($Q$73-250000)*0.05,0))))))</f>
        <v>0</v>
      </c>
      <c r="U73" s="662">
        <f>IF($Q$73&gt;1500000,187500+(($Q$73-1500000)*0.3),IF($Q$73&gt;1250000,125000+(($Q$73-1250000)*0.25),IF($Q$73&gt;1000000,75000+(($Q$73-1000000)*0.2),IF($Q$73&gt;750000,37500+(($Q$73-750000)*0.15),IF($Q$73&gt;500000,12500+(($Q$73-500000)*0.1),IF($Q$73&gt;250000,($Q$73-250000)*0.05,0))))))</f>
        <v>0</v>
      </c>
      <c r="V73" s="656">
        <f t="shared" si="78"/>
        <v>0</v>
      </c>
      <c r="W73" s="656">
        <f t="shared" si="78"/>
        <v>0</v>
      </c>
      <c r="X73" s="656">
        <f t="shared" si="78"/>
        <v>0</v>
      </c>
      <c r="Y73" s="664">
        <f t="shared" si="78"/>
        <v>0</v>
      </c>
      <c r="Z73" s="655">
        <f t="shared" si="79"/>
        <v>0</v>
      </c>
      <c r="AA73" s="655">
        <f t="shared" si="79"/>
        <v>0</v>
      </c>
      <c r="AB73" s="655">
        <f t="shared" si="79"/>
        <v>0</v>
      </c>
      <c r="AC73" s="655">
        <f t="shared" si="79"/>
        <v>0</v>
      </c>
      <c r="AD73" s="656">
        <f t="shared" ref="AD73:AD75" si="105">ROUND((R73+Z73-V73)*4%,0)</f>
        <v>0</v>
      </c>
      <c r="AE73" s="656">
        <f t="shared" ref="AE73:AE75" si="106">ROUND((S73+AA73-W73)*4%,0)</f>
        <v>0</v>
      </c>
      <c r="AF73" s="656">
        <f t="shared" ref="AF73:AF75" si="107">ROUND((T73+AB73-X73)*4%,0)</f>
        <v>0</v>
      </c>
      <c r="AG73" s="656">
        <f t="shared" ref="AG73:AG75" si="108">ROUND((U73+AC73-Y73)*4%,0)</f>
        <v>0</v>
      </c>
      <c r="AH73" s="389">
        <f t="shared" si="81"/>
        <v>0</v>
      </c>
      <c r="AI73" s="389">
        <f t="shared" si="82"/>
        <v>0</v>
      </c>
      <c r="AJ73" s="389">
        <f t="shared" si="83"/>
        <v>0</v>
      </c>
      <c r="AK73" s="389">
        <f t="shared" si="84"/>
        <v>0</v>
      </c>
      <c r="AL73" s="33"/>
      <c r="AM73" t="str">
        <f t="shared" si="52"/>
        <v>2021-22</v>
      </c>
      <c r="AN73" s="316">
        <f t="shared" ref="AN73:AN76" si="109">IFERROR(F73,0)</f>
        <v>0</v>
      </c>
      <c r="AO73" s="1">
        <f>IF($AN$73&gt;1500000,187500+(($AN$73-1500000)*0.3),IF($AN$73&gt;1250000,125000+(($AN$73-1250000)*0.25),IF($AN$73&gt;1000000,75000+(($AN$73-1000000)*0.2),IF($AN$73&gt;750000,37500+(($AN$73-750000)*0.15),IF($AN$73&gt;500000,12500+(($AN$73-500000)*0.1),IF($AN$73&gt;250000,($AN$73-250000)*0.05,0))))))</f>
        <v>0</v>
      </c>
      <c r="AP73" s="1">
        <f>IF($AN$73&gt;1500000,187500+(($AN$73-1500000)*0.3),IF($AN$73&gt;1250000,125000+(($AN$73-1250000)*0.25),IF($AN$73&gt;1000000,75000+(($AN$73-1000000)*0.2),IF($AN$73&gt;750000,37500+(($AN$73-750000)*0.15),IF($AN$73&gt;500000,12500+(($AN$73-500000)*0.1),IF($AN$73&gt;250000,($AN$73-250000)*0.05,0))))))</f>
        <v>0</v>
      </c>
      <c r="AQ73" s="1">
        <f>IF($AN$73&gt;1500000,187500+(($AN$73-1500000)*0.3),IF($AN$73&gt;1250000,125000+(($AN$73-1250000)*0.25),IF($AN$73&gt;1000000,75000+(($AN$73-1000000)*0.2),IF($AN$73&gt;750000,37500+(($AN$73-750000)*0.15),IF($AN$73&gt;500000,12500+(($AN$73-500000)*0.1),IF($AN$73&gt;250000,($AN$73-250000)*0.05,0))))))</f>
        <v>0</v>
      </c>
      <c r="AR73" s="1">
        <f>IF($AN$73&gt;1500000,187500+(($AN$73-1500000)*0.3),IF($AN$73&gt;1250000,125000+(($AN$73-1250000)*0.25),IF($AN$73&gt;1000000,75000+(($AN$73-1000000)*0.2),IF($AN$73&gt;750000,37500+(($AN$73-750000)*0.15),IF($AN$73&gt;500000,12500+(($AN$73-500000)*0.1),IF($AN$73&gt;250000,($AN$73-250000)*0.05,0))))))</f>
        <v>0</v>
      </c>
      <c r="AS73" s="1">
        <f t="shared" si="85"/>
        <v>0</v>
      </c>
      <c r="AT73" s="1">
        <f t="shared" si="85"/>
        <v>0</v>
      </c>
      <c r="AU73" s="1">
        <f t="shared" si="85"/>
        <v>0</v>
      </c>
      <c r="AV73" s="1">
        <f t="shared" si="85"/>
        <v>0</v>
      </c>
      <c r="AW73" s="1">
        <f t="shared" si="86"/>
        <v>0</v>
      </c>
      <c r="AX73" s="1">
        <f t="shared" si="86"/>
        <v>0</v>
      </c>
      <c r="AY73" s="1">
        <f t="shared" si="86"/>
        <v>0</v>
      </c>
      <c r="AZ73" s="1">
        <f t="shared" si="86"/>
        <v>0</v>
      </c>
      <c r="BA73" s="1">
        <f t="shared" ref="BA73:BA75" si="110">ROUND((AO73+AW73-AS73)*4%,0)</f>
        <v>0</v>
      </c>
      <c r="BB73" s="1">
        <f t="shared" si="87"/>
        <v>0</v>
      </c>
      <c r="BC73" s="1">
        <f t="shared" si="88"/>
        <v>0</v>
      </c>
      <c r="BD73" s="1">
        <f t="shared" si="89"/>
        <v>0</v>
      </c>
      <c r="BE73" s="1">
        <f t="shared" si="90"/>
        <v>0</v>
      </c>
      <c r="BF73" s="1">
        <f t="shared" si="91"/>
        <v>0</v>
      </c>
      <c r="BG73" s="1">
        <f t="shared" si="92"/>
        <v>0</v>
      </c>
      <c r="BH73" s="1">
        <f t="shared" si="93"/>
        <v>0</v>
      </c>
      <c r="BK73" s="1" t="str">
        <f t="shared" si="1"/>
        <v>2021-22</v>
      </c>
      <c r="BL73" s="690">
        <f t="shared" si="2"/>
        <v>0</v>
      </c>
      <c r="BM73" s="429">
        <f t="shared" si="53"/>
        <v>0</v>
      </c>
      <c r="BN73" s="1">
        <f t="shared" si="53"/>
        <v>0</v>
      </c>
      <c r="BO73" s="1">
        <f t="shared" si="54"/>
        <v>0</v>
      </c>
      <c r="BP73" s="430">
        <f t="shared" si="33"/>
        <v>0</v>
      </c>
      <c r="BQ73" s="687">
        <f t="shared" si="94"/>
        <v>0</v>
      </c>
      <c r="BR73" s="464">
        <f t="shared" si="95"/>
        <v>0</v>
      </c>
      <c r="BS73" s="464">
        <f t="shared" si="96"/>
        <v>0</v>
      </c>
      <c r="BT73" s="430"/>
      <c r="BU73" s="529">
        <f t="shared" si="68"/>
        <v>0</v>
      </c>
      <c r="BV73" s="529">
        <f t="shared" si="69"/>
        <v>0</v>
      </c>
      <c r="BW73" s="529">
        <f t="shared" si="70"/>
        <v>0</v>
      </c>
      <c r="BX73" s="529">
        <f t="shared" si="71"/>
        <v>0</v>
      </c>
      <c r="BY73" s="429">
        <f t="shared" si="72"/>
        <v>0</v>
      </c>
      <c r="BZ73" s="1">
        <f t="shared" si="73"/>
        <v>0</v>
      </c>
      <c r="CA73" s="1">
        <f t="shared" si="74"/>
        <v>0</v>
      </c>
      <c r="CB73" s="430">
        <f t="shared" si="75"/>
        <v>0</v>
      </c>
      <c r="CC73" s="529">
        <f t="shared" si="97"/>
        <v>0</v>
      </c>
      <c r="CD73" s="1">
        <f t="shared" si="98"/>
        <v>0</v>
      </c>
      <c r="CE73" s="1">
        <f t="shared" si="99"/>
        <v>0</v>
      </c>
      <c r="CF73" s="1">
        <f t="shared" si="100"/>
        <v>0</v>
      </c>
      <c r="CJ73" s="23" t="str">
        <f t="shared" si="24"/>
        <v>2021-22</v>
      </c>
      <c r="CK73" s="690">
        <f t="shared" si="25"/>
        <v>0</v>
      </c>
      <c r="CL73" s="429">
        <f t="shared" si="56"/>
        <v>0</v>
      </c>
      <c r="CM73" s="1">
        <f t="shared" si="56"/>
        <v>0</v>
      </c>
      <c r="CN73" s="1">
        <f t="shared" si="57"/>
        <v>0</v>
      </c>
      <c r="CO73" s="430">
        <f t="shared" si="39"/>
        <v>0</v>
      </c>
      <c r="CP73" s="687">
        <f t="shared" si="76"/>
        <v>0</v>
      </c>
      <c r="CQ73" s="464">
        <f t="shared" si="76"/>
        <v>0</v>
      </c>
      <c r="CR73" s="464">
        <f t="shared" si="76"/>
        <v>0</v>
      </c>
      <c r="CS73" s="430"/>
      <c r="CT73" s="529">
        <f t="shared" si="63"/>
        <v>0</v>
      </c>
      <c r="CU73" s="529">
        <f t="shared" si="63"/>
        <v>0</v>
      </c>
      <c r="CV73" s="529">
        <f t="shared" si="63"/>
        <v>0</v>
      </c>
      <c r="CW73" s="529">
        <f t="shared" si="63"/>
        <v>0</v>
      </c>
      <c r="CX73" s="429">
        <f t="shared" si="77"/>
        <v>0</v>
      </c>
      <c r="CY73" s="1">
        <f t="shared" si="64"/>
        <v>0</v>
      </c>
      <c r="CZ73" s="1">
        <f t="shared" si="65"/>
        <v>0</v>
      </c>
      <c r="DA73" s="430">
        <f t="shared" si="66"/>
        <v>0</v>
      </c>
      <c r="DB73" s="529">
        <f t="shared" si="101"/>
        <v>0</v>
      </c>
      <c r="DC73" s="1">
        <f t="shared" si="102"/>
        <v>0</v>
      </c>
      <c r="DD73" s="1">
        <f t="shared" si="103"/>
        <v>0</v>
      </c>
      <c r="DE73" s="1">
        <f t="shared" si="104"/>
        <v>0</v>
      </c>
      <c r="DG73" s="945">
        <f>IF(DK73=DATA!$BF$4,1,2)</f>
        <v>2</v>
      </c>
      <c r="DH73" s="945">
        <f t="shared" si="11"/>
        <v>0</v>
      </c>
      <c r="DI73" s="945">
        <f t="shared" si="12"/>
        <v>0</v>
      </c>
      <c r="DK73" s="420" t="str">
        <f>TRIM(DATA!G69)</f>
        <v>New Tax Regime</v>
      </c>
    </row>
    <row r="74" spans="1:115" ht="15.4" customHeight="1" x14ac:dyDescent="0.25">
      <c r="A74" s="1414" t="s">
        <v>683</v>
      </c>
      <c r="B74" s="1415"/>
      <c r="C74" s="1416"/>
      <c r="D74" s="333">
        <f>IFERROR(INDEX(DATA!$D$59:$D$71,MATCH(A74,DATA!$C$59:$C$71,0),1),0)</f>
        <v>0</v>
      </c>
      <c r="E74" s="333">
        <f>IFERROR(INDEX(DATA!$E$59:$E$71,MATCH(A74,DATA!$C$59:$C$71,0),1),0)</f>
        <v>0</v>
      </c>
      <c r="F74" s="333">
        <f t="shared" si="13"/>
        <v>0</v>
      </c>
      <c r="G74" s="333">
        <f t="shared" si="14"/>
        <v>0</v>
      </c>
      <c r="H74" s="333">
        <f t="shared" si="15"/>
        <v>0</v>
      </c>
      <c r="I74" s="333">
        <f t="shared" si="16"/>
        <v>0</v>
      </c>
      <c r="O74">
        <v>12</v>
      </c>
      <c r="P74" s="22" t="str">
        <f t="shared" si="0"/>
        <v>2022-23</v>
      </c>
      <c r="Q74" s="316">
        <f>D74</f>
        <v>0</v>
      </c>
      <c r="R74" s="657">
        <f>IF($Q$74&gt;1500000,187500+(($Q$74-1500000)*0.3),IF($Q$74&gt;1250000,125000+(($Q$74-1250000)*0.25),IF($Q$74&gt;1000000,75000+(($Q$74-1000000)*0.2),IF($Q$74&gt;750000,37500+(($Q$74-750000)*0.15),IF($Q$74&gt;500000,12500+(($Q$74-500000)*0.1),IF($Q$74&gt;250000,($Q$74-250000)*0.05,0))))))</f>
        <v>0</v>
      </c>
      <c r="S74" s="658">
        <f>IF($Q$74&gt;1500000,187500+(($Q$74-1500000)*0.3),IF($Q$74&gt;1250000,125000+(($Q$74-1250000)*0.25),IF($Q$74&gt;1000000,75000+(($Q$74-1000000)*0.2),IF($Q$74&gt;750000,37500+(($Q$74-750000)*0.15),IF($Q$74&gt;500000,12500+(($Q$74-500000)*0.1),IF($Q$74&gt;250000,($Q$74-250000)*0.05,0))))))</f>
        <v>0</v>
      </c>
      <c r="T74" s="658">
        <f>IF($Q$74&gt;1500000,187500+(($Q$74-1500000)*0.3),IF($Q$74&gt;1250000,125000+(($Q$74-1250000)*0.25),IF($Q$74&gt;1000000,75000+(($Q$74-1000000)*0.2),IF($Q$74&gt;750000,37500+(($Q$74-750000)*0.15),IF($Q$74&gt;500000,12500+(($Q$74-500000)*0.1),IF($Q$74&gt;250000,($Q$74-250000)*0.05,0))))))</f>
        <v>0</v>
      </c>
      <c r="U74" s="659">
        <f>IF($Q$74&gt;1500000,187500+(($Q$74-1500000)*0.3),IF($Q$74&gt;1250000,125000+(($Q$74-1250000)*0.25),IF($Q$74&gt;1000000,75000+(($Q$74-1000000)*0.2),IF($Q$74&gt;750000,37500+(($Q$74-750000)*0.15),IF($Q$74&gt;500000,12500+(($Q$74-500000)*0.1),IF($Q$74&gt;250000,($Q$74-250000)*0.05,0))))))</f>
        <v>0</v>
      </c>
      <c r="V74" s="656">
        <f t="shared" si="78"/>
        <v>0</v>
      </c>
      <c r="W74" s="656">
        <f t="shared" si="78"/>
        <v>0</v>
      </c>
      <c r="X74" s="656">
        <f t="shared" si="78"/>
        <v>0</v>
      </c>
      <c r="Y74" s="664">
        <f t="shared" si="78"/>
        <v>0</v>
      </c>
      <c r="Z74" s="655">
        <f t="shared" si="79"/>
        <v>0</v>
      </c>
      <c r="AA74" s="655">
        <f t="shared" si="79"/>
        <v>0</v>
      </c>
      <c r="AB74" s="655">
        <f t="shared" si="79"/>
        <v>0</v>
      </c>
      <c r="AC74" s="655">
        <f t="shared" si="79"/>
        <v>0</v>
      </c>
      <c r="AD74" s="656">
        <f t="shared" si="105"/>
        <v>0</v>
      </c>
      <c r="AE74" s="656">
        <f t="shared" si="106"/>
        <v>0</v>
      </c>
      <c r="AF74" s="656">
        <f t="shared" si="107"/>
        <v>0</v>
      </c>
      <c r="AG74" s="656">
        <f t="shared" si="108"/>
        <v>0</v>
      </c>
      <c r="AH74" s="389">
        <f t="shared" si="81"/>
        <v>0</v>
      </c>
      <c r="AI74" s="389">
        <f t="shared" si="82"/>
        <v>0</v>
      </c>
      <c r="AJ74" s="389">
        <f t="shared" si="83"/>
        <v>0</v>
      </c>
      <c r="AK74" s="389">
        <f t="shared" si="84"/>
        <v>0</v>
      </c>
      <c r="AL74" s="33"/>
      <c r="AM74" t="str">
        <f t="shared" si="52"/>
        <v>2022-23</v>
      </c>
      <c r="AN74" s="316">
        <f t="shared" si="109"/>
        <v>0</v>
      </c>
      <c r="AO74" s="1">
        <f>IF($AN$74&gt;1500000,187500+(($AN$74-1500000)*0.3),IF($AN$74&gt;1250000,125000+(($AN$74-1250000)*0.25),IF($AN$74&gt;1000000,75000+(($AN$74-1000000)*0.2),IF($AN$74&gt;750000,37500+(($AN$74-750000)*0.15),IF($AN$74&gt;500000,12500+(($AN$74-500000)*0.1),IF($AN$74&gt;250000,($AN$74-250000)*0.05,0))))))</f>
        <v>0</v>
      </c>
      <c r="AP74" s="1">
        <f>IF($AN$74&gt;1500000,187500+(($AN$74-1500000)*0.3),IF($AN$74&gt;1250000,125000+(($AN$74-1250000)*0.25),IF($AN$74&gt;1000000,75000+(($AN$74-1000000)*0.2),IF($AN$74&gt;750000,37500+(($AN$74-750000)*0.15),IF($AN$74&gt;500000,12500+(($AN$74-500000)*0.1),IF($AN$74&gt;250000,($AN$74-250000)*0.05,0))))))</f>
        <v>0</v>
      </c>
      <c r="AQ74" s="1">
        <f>IF($AN$74&gt;1500000,187500+(($AN$74-1500000)*0.3),IF($AN$74&gt;1250000,125000+(($AN$74-1250000)*0.25),IF($AN$74&gt;1000000,75000+(($AN$74-1000000)*0.2),IF($AN$74&gt;750000,37500+(($AN$74-750000)*0.15),IF($AN$74&gt;500000,12500+(($AN$74-500000)*0.1),IF($AN$74&gt;250000,($AN$74-250000)*0.05,0))))))</f>
        <v>0</v>
      </c>
      <c r="AR74" s="1">
        <f>IF($AN$74&gt;1500000,187500+(($AN$74-1500000)*0.3),IF($AN$74&gt;1250000,125000+(($AN$74-1250000)*0.25),IF($AN$74&gt;1000000,75000+(($AN$74-1000000)*0.2),IF($AN$74&gt;750000,37500+(($AN$74-750000)*0.15),IF($AN$74&gt;500000,12500+(($AN$74-500000)*0.1),IF($AN$74&gt;250000,($AN$74-250000)*0.05,0))))))</f>
        <v>0</v>
      </c>
      <c r="AS74" s="1">
        <f t="shared" si="85"/>
        <v>0</v>
      </c>
      <c r="AT74" s="1">
        <f t="shared" si="85"/>
        <v>0</v>
      </c>
      <c r="AU74" s="1">
        <f t="shared" si="85"/>
        <v>0</v>
      </c>
      <c r="AV74" s="1">
        <f t="shared" si="85"/>
        <v>0</v>
      </c>
      <c r="AW74" s="1">
        <f t="shared" si="86"/>
        <v>0</v>
      </c>
      <c r="AX74" s="1">
        <f t="shared" si="86"/>
        <v>0</v>
      </c>
      <c r="AY74" s="1">
        <f t="shared" si="86"/>
        <v>0</v>
      </c>
      <c r="AZ74" s="1">
        <f t="shared" si="86"/>
        <v>0</v>
      </c>
      <c r="BA74" s="1">
        <f t="shared" si="110"/>
        <v>0</v>
      </c>
      <c r="BB74" s="1">
        <f t="shared" si="87"/>
        <v>0</v>
      </c>
      <c r="BC74" s="1">
        <f t="shared" si="88"/>
        <v>0</v>
      </c>
      <c r="BD74" s="1">
        <f t="shared" si="89"/>
        <v>0</v>
      </c>
      <c r="BE74" s="1">
        <f t="shared" si="90"/>
        <v>0</v>
      </c>
      <c r="BF74" s="1">
        <f t="shared" si="91"/>
        <v>0</v>
      </c>
      <c r="BG74" s="1">
        <f t="shared" si="92"/>
        <v>0</v>
      </c>
      <c r="BH74" s="1">
        <f t="shared" si="93"/>
        <v>0</v>
      </c>
      <c r="BK74" s="1" t="str">
        <f t="shared" si="1"/>
        <v>2022-23</v>
      </c>
      <c r="BL74" s="690">
        <f t="shared" si="2"/>
        <v>0</v>
      </c>
      <c r="BM74" s="429">
        <f t="shared" si="53"/>
        <v>0</v>
      </c>
      <c r="BN74" s="1">
        <f t="shared" si="53"/>
        <v>0</v>
      </c>
      <c r="BO74" s="1">
        <f t="shared" si="54"/>
        <v>0</v>
      </c>
      <c r="BP74" s="430">
        <f t="shared" si="33"/>
        <v>0</v>
      </c>
      <c r="BQ74" s="687">
        <f t="shared" si="94"/>
        <v>0</v>
      </c>
      <c r="BR74" s="464">
        <f t="shared" si="95"/>
        <v>0</v>
      </c>
      <c r="BS74" s="464">
        <f t="shared" si="96"/>
        <v>0</v>
      </c>
      <c r="BT74" s="430"/>
      <c r="BU74" s="529">
        <f t="shared" si="68"/>
        <v>0</v>
      </c>
      <c r="BV74" s="529">
        <f t="shared" si="69"/>
        <v>0</v>
      </c>
      <c r="BW74" s="529">
        <f t="shared" si="70"/>
        <v>0</v>
      </c>
      <c r="BX74" s="529">
        <f t="shared" si="71"/>
        <v>0</v>
      </c>
      <c r="BY74" s="429">
        <f t="shared" si="72"/>
        <v>0</v>
      </c>
      <c r="BZ74" s="1">
        <f t="shared" si="73"/>
        <v>0</v>
      </c>
      <c r="CA74" s="1">
        <f t="shared" si="74"/>
        <v>0</v>
      </c>
      <c r="CB74" s="430">
        <f t="shared" si="75"/>
        <v>0</v>
      </c>
      <c r="CC74" s="529">
        <f t="shared" si="97"/>
        <v>0</v>
      </c>
      <c r="CD74" s="1">
        <f t="shared" si="98"/>
        <v>0</v>
      </c>
      <c r="CE74" s="1">
        <f t="shared" si="99"/>
        <v>0</v>
      </c>
      <c r="CF74" s="1">
        <f t="shared" si="100"/>
        <v>0</v>
      </c>
      <c r="CJ74" s="23" t="str">
        <f t="shared" si="24"/>
        <v>2022-23</v>
      </c>
      <c r="CK74" s="690">
        <f t="shared" si="25"/>
        <v>0</v>
      </c>
      <c r="CL74" s="429">
        <f t="shared" si="56"/>
        <v>0</v>
      </c>
      <c r="CM74" s="1">
        <f t="shared" si="56"/>
        <v>0</v>
      </c>
      <c r="CN74" s="1">
        <f t="shared" si="57"/>
        <v>0</v>
      </c>
      <c r="CO74" s="430">
        <f t="shared" si="39"/>
        <v>0</v>
      </c>
      <c r="CP74" s="687">
        <f t="shared" si="76"/>
        <v>0</v>
      </c>
      <c r="CQ74" s="464">
        <f t="shared" si="76"/>
        <v>0</v>
      </c>
      <c r="CR74" s="464">
        <f t="shared" si="76"/>
        <v>0</v>
      </c>
      <c r="CS74" s="430"/>
      <c r="CT74" s="529">
        <f t="shared" si="63"/>
        <v>0</v>
      </c>
      <c r="CU74" s="529">
        <f t="shared" si="63"/>
        <v>0</v>
      </c>
      <c r="CV74" s="529">
        <f t="shared" si="63"/>
        <v>0</v>
      </c>
      <c r="CW74" s="529">
        <f t="shared" si="63"/>
        <v>0</v>
      </c>
      <c r="CX74" s="429">
        <f t="shared" si="77"/>
        <v>0</v>
      </c>
      <c r="CY74" s="1">
        <f t="shared" si="64"/>
        <v>0</v>
      </c>
      <c r="CZ74" s="1">
        <f t="shared" si="65"/>
        <v>0</v>
      </c>
      <c r="DA74" s="430">
        <f t="shared" si="66"/>
        <v>0</v>
      </c>
      <c r="DB74" s="529">
        <f t="shared" si="101"/>
        <v>0</v>
      </c>
      <c r="DC74" s="1">
        <f t="shared" si="102"/>
        <v>0</v>
      </c>
      <c r="DD74" s="1">
        <f t="shared" si="103"/>
        <v>0</v>
      </c>
      <c r="DE74" s="1">
        <f t="shared" si="104"/>
        <v>0</v>
      </c>
      <c r="DG74" s="945">
        <f>IF(DK74=DATA!$BF$4,1,2)</f>
        <v>2</v>
      </c>
      <c r="DH74" s="945">
        <f t="shared" si="11"/>
        <v>0</v>
      </c>
      <c r="DI74" s="945">
        <f t="shared" si="12"/>
        <v>0</v>
      </c>
      <c r="DK74" s="420" t="str">
        <f>TRIM(DATA!G70)</f>
        <v>New Tax Regime</v>
      </c>
    </row>
    <row r="75" spans="1:115" ht="15.4" customHeight="1" thickBot="1" x14ac:dyDescent="0.3">
      <c r="A75" s="1414" t="s">
        <v>772</v>
      </c>
      <c r="B75" s="1415"/>
      <c r="C75" s="1416"/>
      <c r="D75" s="333">
        <f>IFERROR(INDEX(DATA!$D$59:$D$71,MATCH(A75,DATA!$C$59:$C$71,0),1),0)</f>
        <v>0</v>
      </c>
      <c r="E75" s="333">
        <f>IFERROR(INDEX(DATA!$E$59:$E$71,MATCH(A75,DATA!$C$59:$C$71,0),1),0)</f>
        <v>0</v>
      </c>
      <c r="F75" s="333">
        <f t="shared" si="13"/>
        <v>0</v>
      </c>
      <c r="G75" s="333">
        <f t="shared" si="14"/>
        <v>0</v>
      </c>
      <c r="H75" s="333">
        <f t="shared" si="15"/>
        <v>0</v>
      </c>
      <c r="I75" s="333">
        <f t="shared" si="16"/>
        <v>0</v>
      </c>
      <c r="O75">
        <v>13</v>
      </c>
      <c r="P75" s="22" t="str">
        <f t="shared" si="0"/>
        <v>2023-24</v>
      </c>
      <c r="Q75" s="316">
        <f>D75</f>
        <v>0</v>
      </c>
      <c r="R75" s="663">
        <f>MAX(0,IF($Q75&gt;600000,(600000-300000)*5/100,($Q75-300000)*5/100))+MAX(0,IF($Q75&gt;900000,(900000-600000)*10/100,($Q75-600000)*10/100))+MAX(0,IF($Q75&gt;1200000,(1200000-900000)*15/100,($Q75-900000)*15/100))+MAX(0,IF($Q75&gt;1500000,(1500000-1200000)*20/100,($Q75-1200000)*20/100))+MAX(0,($Q75-1500000)*30/100)</f>
        <v>0</v>
      </c>
      <c r="S75" s="663">
        <f>MAX(0,IF($Q75&gt;600000,(600000-300000)*5/100,($Q75-300000)*5/100))+MAX(0,IF($Q75&gt;900000,(900000-600000)*10/100,($Q75-600000)*10/100))+MAX(0,IF($Q75&gt;1200000,(1200000-900000)*15/100,($Q75-900000)*15/100))+MAX(0,IF($Q75&gt;1500000,(1500000-1200000)*20/100,($Q75-1200000)*20/100))+MAX(0,($Q75-1500000)*30/100)</f>
        <v>0</v>
      </c>
      <c r="T75" s="663">
        <f>MAX(0,IF($Q75&gt;600000,(600000-300000)*5/100,($Q75-300000)*5/100))+MAX(0,IF($Q75&gt;900000,(900000-600000)*10/100,($Q75-600000)*10/100))+MAX(0,IF($Q75&gt;1200000,(1200000-900000)*15/100,($Q75-900000)*15/100))+MAX(0,IF($Q75&gt;1500000,(1500000-1200000)*20/100,($Q75-1200000)*20/100))+MAX(0,($Q75-1500000)*30/100)</f>
        <v>0</v>
      </c>
      <c r="U75" s="663">
        <f>MAX(0,IF($Q75&gt;600000,(600000-300000)*5/100,($Q75-300000)*5/100))+MAX(0,IF($Q75&gt;900000,(900000-600000)*10/100,($Q75-600000)*10/100))+MAX(0,IF($Q75&gt;1200000,(1200000-900000)*15/100,($Q75-900000)*15/100))+MAX(0,IF($Q75&gt;1500000,(1500000-1200000)*20/100,($Q75-1200000)*20/100))+MAX(0,($Q75-1500000)*30/100)</f>
        <v>0</v>
      </c>
      <c r="V75" s="656">
        <f t="shared" ref="V75:Y76" si="111">IF($Q75&gt;700000,MAX(R75-$Q75+700000,0),MIN(R75,25000))</f>
        <v>0</v>
      </c>
      <c r="W75" s="656">
        <f t="shared" si="111"/>
        <v>0</v>
      </c>
      <c r="X75" s="656">
        <f t="shared" si="111"/>
        <v>0</v>
      </c>
      <c r="Y75" s="656">
        <f t="shared" si="111"/>
        <v>0</v>
      </c>
      <c r="Z75" s="655">
        <f t="shared" si="79"/>
        <v>0</v>
      </c>
      <c r="AA75" s="655">
        <f t="shared" si="79"/>
        <v>0</v>
      </c>
      <c r="AB75" s="655">
        <f t="shared" si="79"/>
        <v>0</v>
      </c>
      <c r="AC75" s="655">
        <f t="shared" si="79"/>
        <v>0</v>
      </c>
      <c r="AD75" s="656">
        <f t="shared" si="105"/>
        <v>0</v>
      </c>
      <c r="AE75" s="656">
        <f t="shared" si="106"/>
        <v>0</v>
      </c>
      <c r="AF75" s="656">
        <f t="shared" si="107"/>
        <v>0</v>
      </c>
      <c r="AG75" s="656">
        <f t="shared" si="108"/>
        <v>0</v>
      </c>
      <c r="AH75" s="389">
        <f t="shared" si="81"/>
        <v>0</v>
      </c>
      <c r="AI75" s="389">
        <f t="shared" si="82"/>
        <v>0</v>
      </c>
      <c r="AJ75" s="389">
        <f t="shared" si="83"/>
        <v>0</v>
      </c>
      <c r="AK75" s="389">
        <f t="shared" si="84"/>
        <v>0</v>
      </c>
      <c r="AL75" s="33"/>
      <c r="AM75" t="str">
        <f t="shared" si="52"/>
        <v>2023-24</v>
      </c>
      <c r="AN75" s="316">
        <f t="shared" si="109"/>
        <v>0</v>
      </c>
      <c r="AO75" s="1">
        <f>MAX(0,IF($AN75&gt;600000,(600000-300000)*5/100,($AN75-300000)*5/100))+MAX(0,IF($AN75&gt;900000,(900000-600000)*10/100,($AN75-600000)*10/100))+MAX(0,IF($AN75&gt;1200000,(1200000-900000)*15/100,($AN75-900000)*15/100))+MAX(0,IF($AN75&gt;1500000,(1500000-1200000)*20/100,($AN75-1200000)*20/100))+MAX(0,($AN75-1500000)*30/100)</f>
        <v>0</v>
      </c>
      <c r="AP75" s="1">
        <f>MAX(0,IF($AN75&gt;600000,(600000-300000)*5/100,($AN75-300000)*5/100))+MAX(0,IF($AN75&gt;900000,(900000-600000)*10/100,($AN75-600000)*10/100))+MAX(0,IF($AN75&gt;1200000,(1200000-900000)*15/100,($AN75-900000)*15/100))+MAX(0,IF($AN75&gt;1500000,(1500000-1200000)*20/100,($AN75-1200000)*20/100))+MAX(0,($AN75-1500000)*30/100)</f>
        <v>0</v>
      </c>
      <c r="AQ75" s="1">
        <f>MAX(0,IF($AN75&gt;600000,(600000-300000)*5/100,($AN75-300000)*5/100))+MAX(0,IF($AN75&gt;900000,(900000-600000)*10/100,($AN75-600000)*10/100))+MAX(0,IF($AN75&gt;1200000,(1200000-900000)*15/100,($AN75-900000)*15/100))+MAX(0,IF($AN75&gt;1500000,(1500000-1200000)*20/100,($AN75-1200000)*20/100))+MAX(0,($AN75-1500000)*30/100)</f>
        <v>0</v>
      </c>
      <c r="AR75" s="1">
        <f>MAX(0,IF($AN75&gt;600000,(600000-300000)*5/100,($AN75-300000)*5/100))+MAX(0,IF($AN75&gt;900000,(900000-600000)*10/100,($AN75-600000)*10/100))+MAX(0,IF($AN75&gt;1200000,(1200000-900000)*15/100,($AN75-900000)*15/100))+MAX(0,IF($AN75&gt;1500000,(1500000-1200000)*20/100,($AN75-1200000)*20/100))+MAX(0,($AN75-1500000)*30/100)</f>
        <v>0</v>
      </c>
      <c r="AS75" s="1">
        <f t="shared" ref="AS75:AV76" si="112">IF($AN75&gt;700000,MAX(AO75-$AN75+700000,0),MIN(AO75,25000))</f>
        <v>0</v>
      </c>
      <c r="AT75" s="1">
        <f t="shared" si="112"/>
        <v>0</v>
      </c>
      <c r="AU75" s="1">
        <f t="shared" si="112"/>
        <v>0</v>
      </c>
      <c r="AV75" s="1">
        <f t="shared" si="112"/>
        <v>0</v>
      </c>
      <c r="AW75" s="1">
        <f>ROUND((IF($AN75&lt;5000001,0,(IF($AN75&lt;10000001,(MIN((AO75*0.1),(($AN75-5000000)*0.7))),((IF($AN75&gt;10000001,(MIN((($AN75-10000000)*0.7+281250),(AO75*0.15)))))))))),0)</f>
        <v>0</v>
      </c>
      <c r="AX75" s="1">
        <f t="shared" si="86"/>
        <v>0</v>
      </c>
      <c r="AY75" s="1">
        <f t="shared" si="86"/>
        <v>0</v>
      </c>
      <c r="AZ75" s="1">
        <f t="shared" si="86"/>
        <v>0</v>
      </c>
      <c r="BA75" s="1">
        <f t="shared" si="110"/>
        <v>0</v>
      </c>
      <c r="BB75" s="1">
        <f t="shared" si="87"/>
        <v>0</v>
      </c>
      <c r="BC75" s="1">
        <f t="shared" si="88"/>
        <v>0</v>
      </c>
      <c r="BD75" s="1">
        <f t="shared" si="89"/>
        <v>0</v>
      </c>
      <c r="BE75" s="1">
        <f t="shared" si="90"/>
        <v>0</v>
      </c>
      <c r="BF75" s="1">
        <f t="shared" si="91"/>
        <v>0</v>
      </c>
      <c r="BG75" s="1">
        <f t="shared" si="92"/>
        <v>0</v>
      </c>
      <c r="BH75" s="1">
        <f t="shared" si="93"/>
        <v>0</v>
      </c>
      <c r="BK75" s="1" t="str">
        <f t="shared" si="1"/>
        <v>2023-24</v>
      </c>
      <c r="BL75" s="690">
        <f t="shared" si="2"/>
        <v>0</v>
      </c>
      <c r="BM75" s="432">
        <f t="shared" si="53"/>
        <v>0</v>
      </c>
      <c r="BN75" s="433">
        <f t="shared" si="53"/>
        <v>0</v>
      </c>
      <c r="BO75" s="433">
        <f t="shared" si="54"/>
        <v>0</v>
      </c>
      <c r="BP75" s="686">
        <f t="shared" si="33"/>
        <v>0</v>
      </c>
      <c r="BQ75" s="688">
        <f t="shared" ref="BQ75" si="113">IF($BL75&lt;500001,MIN(BM75,12500),0)</f>
        <v>0</v>
      </c>
      <c r="BR75" s="689">
        <f t="shared" ref="BR75" si="114">IF($BL75&lt;500001,MIN(BN75,12500),0)</f>
        <v>0</v>
      </c>
      <c r="BS75" s="689">
        <f t="shared" ref="BS75" si="115">IF($BL75&lt;500001,MIN(BO75,12500),0)</f>
        <v>0</v>
      </c>
      <c r="BT75" s="686"/>
      <c r="BU75" s="529">
        <f t="shared" si="68"/>
        <v>0</v>
      </c>
      <c r="BV75" s="529">
        <f t="shared" si="69"/>
        <v>0</v>
      </c>
      <c r="BW75" s="529">
        <f t="shared" si="70"/>
        <v>0</v>
      </c>
      <c r="BX75" s="529">
        <f t="shared" si="71"/>
        <v>0</v>
      </c>
      <c r="BY75" s="432">
        <f t="shared" si="72"/>
        <v>0</v>
      </c>
      <c r="BZ75" s="433">
        <f t="shared" si="73"/>
        <v>0</v>
      </c>
      <c r="CA75" s="433">
        <f t="shared" si="74"/>
        <v>0</v>
      </c>
      <c r="CB75" s="686">
        <f t="shared" si="75"/>
        <v>0</v>
      </c>
      <c r="CC75" s="529">
        <f t="shared" si="97"/>
        <v>0</v>
      </c>
      <c r="CD75" s="1">
        <f t="shared" si="98"/>
        <v>0</v>
      </c>
      <c r="CE75" s="1">
        <f t="shared" si="99"/>
        <v>0</v>
      </c>
      <c r="CF75" s="1">
        <f t="shared" si="100"/>
        <v>0</v>
      </c>
      <c r="CJ75" s="23" t="str">
        <f t="shared" si="24"/>
        <v>2023-24</v>
      </c>
      <c r="CK75" s="690">
        <f t="shared" si="25"/>
        <v>0</v>
      </c>
      <c r="CL75" s="432">
        <f t="shared" si="56"/>
        <v>0</v>
      </c>
      <c r="CM75" s="433">
        <f t="shared" si="56"/>
        <v>0</v>
      </c>
      <c r="CN75" s="433">
        <f t="shared" si="57"/>
        <v>0</v>
      </c>
      <c r="CO75" s="686">
        <f t="shared" si="39"/>
        <v>0</v>
      </c>
      <c r="CP75" s="688">
        <f t="shared" si="76"/>
        <v>0</v>
      </c>
      <c r="CQ75" s="689">
        <f t="shared" si="76"/>
        <v>0</v>
      </c>
      <c r="CR75" s="689">
        <f t="shared" si="76"/>
        <v>0</v>
      </c>
      <c r="CS75" s="686"/>
      <c r="CT75" s="529">
        <f t="shared" si="63"/>
        <v>0</v>
      </c>
      <c r="CU75" s="529">
        <f t="shared" si="63"/>
        <v>0</v>
      </c>
      <c r="CV75" s="529">
        <f t="shared" si="63"/>
        <v>0</v>
      </c>
      <c r="CW75" s="529">
        <f t="shared" si="63"/>
        <v>0</v>
      </c>
      <c r="CX75" s="432">
        <f t="shared" si="77"/>
        <v>0</v>
      </c>
      <c r="CY75" s="433">
        <f t="shared" si="64"/>
        <v>0</v>
      </c>
      <c r="CZ75" s="433">
        <f t="shared" si="65"/>
        <v>0</v>
      </c>
      <c r="DA75" s="686">
        <f t="shared" si="66"/>
        <v>0</v>
      </c>
      <c r="DB75" s="529">
        <f t="shared" si="101"/>
        <v>0</v>
      </c>
      <c r="DC75" s="1">
        <f t="shared" si="102"/>
        <v>0</v>
      </c>
      <c r="DD75" s="1">
        <f t="shared" si="103"/>
        <v>0</v>
      </c>
      <c r="DE75" s="1">
        <f t="shared" si="104"/>
        <v>0</v>
      </c>
      <c r="DG75" s="945">
        <f>IF(DK75=DATA!$BF$4,1,2)</f>
        <v>2</v>
      </c>
      <c r="DH75" s="945">
        <f>IF(DG75=1,INDEX(CD75:CF75,1,$DI$60),INDEX(AI75:AK75,1,$DI$60))</f>
        <v>0</v>
      </c>
      <c r="DI75" s="945">
        <f t="shared" si="12"/>
        <v>0</v>
      </c>
      <c r="DK75" s="420" t="str">
        <f>TRIM(DATA!G71)</f>
        <v>New Tax Regime</v>
      </c>
    </row>
    <row r="76" spans="1:115" ht="16.899999999999999" customHeight="1" thickBot="1" x14ac:dyDescent="0.3">
      <c r="A76" s="1414" t="s">
        <v>898</v>
      </c>
      <c r="B76" s="1415"/>
      <c r="C76" s="1416"/>
      <c r="D76" s="333">
        <f>IFERROR(INDEX(DATA!$D$59:$D$72,MATCH(A76,DATA!$C$59:$C$72,0),1),0)</f>
        <v>0</v>
      </c>
      <c r="E76" s="333">
        <f>IFERROR(INDEX(DATA!$E$59:$E$72,MATCH(A76,DATA!$C$59:$C$72,0),1),0)</f>
        <v>0</v>
      </c>
      <c r="F76" s="333">
        <f t="shared" si="13"/>
        <v>0</v>
      </c>
      <c r="G76" s="333">
        <f t="shared" ref="G76" si="116">MAX(0,DH76)</f>
        <v>0</v>
      </c>
      <c r="H76" s="333">
        <f t="shared" ref="H76" si="117">MAX(0,DI76)</f>
        <v>0</v>
      </c>
      <c r="I76" s="333">
        <f t="shared" ref="I76" si="118">MAX(0,H76-G76)</f>
        <v>0</v>
      </c>
      <c r="O76">
        <v>14</v>
      </c>
      <c r="P76" s="22" t="s">
        <v>898</v>
      </c>
      <c r="Q76" s="316">
        <f>D76</f>
        <v>0</v>
      </c>
      <c r="R76" s="934">
        <f>MAX(0,IF($Q76&gt;700000,(700000-300000)*5/100,($Q76-300000)*5/100))+MAX(0,IF($Q76&gt;1000000,(1000000-700000)*10/100,($Q76-700000)*10/100))+MAX(0,IF($Q76&gt;1200000,(1200000-1000000)*15/100,($Q76-1000000)*15/100))+MAX(0,IF($Q76&gt;1500000,(1500000-1200000)*20/100,($Q76-1200000)*20/100))+MAX(0,($Q76-1500000)*30/100)</f>
        <v>0</v>
      </c>
      <c r="S76" s="934">
        <f t="shared" ref="S76:U76" si="119">MAX(0,IF($Q76&gt;700000,(700000-300000)*5/100,($Q76-300000)*5/100))+MAX(0,IF($Q76&gt;1000000,(1000000-700000)*10/100,($Q76-700000)*10/100))+MAX(0,IF($Q76&gt;1200000,(1200000-1000000)*15/100,($Q76-1000000)*15/100))+MAX(0,IF($Q76&gt;1500000,(1500000-1200000)*20/100,($Q76-1200000)*20/100))+MAX(0,($Q76-1500000)*30/100)</f>
        <v>0</v>
      </c>
      <c r="T76" s="934">
        <f t="shared" si="119"/>
        <v>0</v>
      </c>
      <c r="U76" s="934">
        <f t="shared" si="119"/>
        <v>0</v>
      </c>
      <c r="V76" s="935">
        <f t="shared" si="111"/>
        <v>0</v>
      </c>
      <c r="W76" s="935">
        <f t="shared" si="111"/>
        <v>0</v>
      </c>
      <c r="X76" s="935">
        <f t="shared" si="111"/>
        <v>0</v>
      </c>
      <c r="Y76" s="935">
        <f t="shared" si="111"/>
        <v>0</v>
      </c>
      <c r="Z76" s="745">
        <f t="shared" si="79"/>
        <v>0</v>
      </c>
      <c r="AA76" s="745">
        <f t="shared" si="79"/>
        <v>0</v>
      </c>
      <c r="AB76" s="745">
        <f t="shared" si="79"/>
        <v>0</v>
      </c>
      <c r="AC76" s="745">
        <f t="shared" si="79"/>
        <v>0</v>
      </c>
      <c r="AD76" s="935">
        <f>ROUND((R76+Z76-V76)*4%,0)</f>
        <v>0</v>
      </c>
      <c r="AE76" s="935">
        <f t="shared" ref="AE76" si="120">ROUND((S76+AA76-W76)*4%,0)</f>
        <v>0</v>
      </c>
      <c r="AF76" s="935">
        <f t="shared" ref="AF76" si="121">ROUND((T76+AB76-X76)*4%,0)</f>
        <v>0</v>
      </c>
      <c r="AG76" s="935">
        <f t="shared" ref="AG76" si="122">ROUND((U76+AC76-Y76)*4%,0)</f>
        <v>0</v>
      </c>
      <c r="AH76" s="527">
        <f>AD76+Z76+R76-V76</f>
        <v>0</v>
      </c>
      <c r="AI76" s="527">
        <f t="shared" si="82"/>
        <v>0</v>
      </c>
      <c r="AJ76" s="527">
        <f t="shared" si="83"/>
        <v>0</v>
      </c>
      <c r="AK76" s="527">
        <f t="shared" si="84"/>
        <v>0</v>
      </c>
      <c r="AL76" s="936"/>
      <c r="AM76" s="315" t="str">
        <f t="shared" si="52"/>
        <v>2024-25</v>
      </c>
      <c r="AN76" s="316">
        <f t="shared" si="109"/>
        <v>0</v>
      </c>
      <c r="AO76" s="8">
        <f t="shared" ref="AO76:AR76" si="123">MAX(0,IF($AN76&gt;700000,(700000-300000)*5/100,($AN76-300000)*5/100))+MAX(0,IF($AN76&gt;1000000,(1000000-700000)*10/100,($AN76-700000)*10/100))+MAX(0,IF($AN76&gt;1200000,(1200000-1000000)*15/100,($AN76-1000000)*15/100))+MAX(0,IF($AN76&gt;1500000,(1500000-1200000)*20/100,($AN76-1200000)*20/100))+MAX(0,($AN76-1500000)*30/100)</f>
        <v>0</v>
      </c>
      <c r="AP76" s="8">
        <f t="shared" si="123"/>
        <v>0</v>
      </c>
      <c r="AQ76" s="8">
        <f t="shared" si="123"/>
        <v>0</v>
      </c>
      <c r="AR76" s="8">
        <f t="shared" si="123"/>
        <v>0</v>
      </c>
      <c r="AS76" s="8">
        <f t="shared" si="112"/>
        <v>0</v>
      </c>
      <c r="AT76" s="8">
        <f t="shared" si="112"/>
        <v>0</v>
      </c>
      <c r="AU76" s="8">
        <f t="shared" si="112"/>
        <v>0</v>
      </c>
      <c r="AV76" s="8">
        <f t="shared" si="112"/>
        <v>0</v>
      </c>
      <c r="AW76" s="8">
        <f>ROUND((IF($AN76&lt;5000001,0,(IF($AN76&lt;10000001,(MIN((AO76*0.1),(($AN76-5000000)*0.7))),((IF($AN76&gt;10000001,(MIN((($AN76-10000000)*0.7+281250),(AO76*0.15)))))))))),0)</f>
        <v>0</v>
      </c>
      <c r="AX76" s="8">
        <f t="shared" si="86"/>
        <v>0</v>
      </c>
      <c r="AY76" s="8">
        <f t="shared" si="86"/>
        <v>0</v>
      </c>
      <c r="AZ76" s="8">
        <f t="shared" si="86"/>
        <v>0</v>
      </c>
      <c r="BA76" s="8">
        <f>ROUND((AO76+AW76-AS76)*4%,0)</f>
        <v>0</v>
      </c>
      <c r="BB76" s="8">
        <f t="shared" si="87"/>
        <v>0</v>
      </c>
      <c r="BC76" s="8">
        <f t="shared" si="88"/>
        <v>0</v>
      </c>
      <c r="BD76" s="8">
        <f t="shared" si="89"/>
        <v>0</v>
      </c>
      <c r="BE76" s="8">
        <f>BA76+AW76+AO76-AS76</f>
        <v>0</v>
      </c>
      <c r="BF76" s="8">
        <f t="shared" ref="BF76:BH76" si="124">BB76+AX76+AP76-AT76</f>
        <v>0</v>
      </c>
      <c r="BG76" s="8">
        <f t="shared" si="124"/>
        <v>0</v>
      </c>
      <c r="BH76" s="8">
        <f t="shared" si="124"/>
        <v>0</v>
      </c>
      <c r="BI76" s="315"/>
      <c r="BJ76" s="315"/>
      <c r="BK76" s="8" t="str">
        <f>P76</f>
        <v>2024-25</v>
      </c>
      <c r="BL76" s="690">
        <f t="shared" si="2"/>
        <v>0</v>
      </c>
      <c r="BM76" s="939">
        <f t="shared" si="53"/>
        <v>0</v>
      </c>
      <c r="BN76" s="940">
        <f t="shared" si="53"/>
        <v>0</v>
      </c>
      <c r="BO76" s="940">
        <f t="shared" si="54"/>
        <v>0</v>
      </c>
      <c r="BP76" s="941">
        <f t="shared" si="33"/>
        <v>0</v>
      </c>
      <c r="BQ76" s="942">
        <f t="shared" ref="BQ76" si="125">IF($BL76&lt;500001,MIN(BM76,12500),0)</f>
        <v>0</v>
      </c>
      <c r="BR76" s="943">
        <f t="shared" ref="BR76" si="126">IF($BL76&lt;500001,MIN(BN76,12500),0)</f>
        <v>0</v>
      </c>
      <c r="BS76" s="943">
        <f t="shared" ref="BS76" si="127">IF($BL76&lt;500001,MIN(BO76,12500),0)</f>
        <v>0</v>
      </c>
      <c r="BT76" s="941"/>
      <c r="BU76" s="944">
        <f t="shared" ref="BU76" si="128">ROUND((IF($BL76&lt;5000001,0,(IF($BL76&lt;10000001,(MIN((BM76*0.1),((BM76-5000000)*0.7))),((IF($BL76&gt;10000001,(MIN((($BL76-10000000)*0.7+281250),(BM76*0.15)))))))))),0)</f>
        <v>0</v>
      </c>
      <c r="BV76" s="944">
        <f t="shared" ref="BV76" si="129">ROUND((IF($BL76&lt;5000001,0,(IF($BL76&lt;10000001,(MIN((BN76*0.1),((BN76-5000000)*0.7))),((IF($BL76&gt;10000001,(MIN((($BL76-10000000)*0.7+281250),(BN76*0.15)))))))))),0)</f>
        <v>0</v>
      </c>
      <c r="BW76" s="944">
        <f t="shared" ref="BW76" si="130">ROUND((IF($BL76&lt;5000001,0,(IF($BL76&lt;10000001,(MIN((BO76*0.1),((BO76-5000000)*0.7))),((IF($BL76&gt;10000001,(MIN((($BL76-10000000)*0.7+281250),(BO76*0.15)))))))))),0)</f>
        <v>0</v>
      </c>
      <c r="BX76" s="944">
        <f t="shared" ref="BX76" si="131">ROUND((IF($BL76&lt;5000001,0,(IF($BL76&lt;10000001,(MIN((BP76*0.1),((BP76-5000000)*0.7))),((IF($BL76&gt;10000001,(MIN((($BL76-10000000)*0.7+281250),(BP76*0.15)))))))))),0)</f>
        <v>0</v>
      </c>
      <c r="BY76" s="939">
        <f t="shared" ref="BY76" si="132">ROUND((BM76-BQ76)*4%,0)</f>
        <v>0</v>
      </c>
      <c r="BZ76" s="940">
        <f t="shared" ref="BZ76" si="133">ROUND((BN76-BR76)*4%,0)</f>
        <v>0</v>
      </c>
      <c r="CA76" s="940">
        <f t="shared" ref="CA76" si="134">ROUND((BO76-BS76)*4%,0)</f>
        <v>0</v>
      </c>
      <c r="CB76" s="941">
        <f t="shared" ref="CB76" si="135">ROUND((BP76-BT76)*4%,0)</f>
        <v>0</v>
      </c>
      <c r="CC76" s="944">
        <f t="shared" ref="CC76" si="136">SUM(BM76+BU76+BY76-BQ76)</f>
        <v>0</v>
      </c>
      <c r="CD76" s="8">
        <f t="shared" ref="CD76" si="137">SUM(BN76+BV76+BZ76-BR76)</f>
        <v>0</v>
      </c>
      <c r="CE76" s="8">
        <f t="shared" ref="CE76" si="138">SUM(BO76+BW76+CA76-BS76)</f>
        <v>0</v>
      </c>
      <c r="CF76" s="8">
        <f t="shared" ref="CF76" si="139">SUM(BP76+BX76+CB76-BT76)</f>
        <v>0</v>
      </c>
      <c r="CG76" s="315"/>
      <c r="CH76" s="315"/>
      <c r="CI76" s="315"/>
      <c r="CJ76" s="813" t="str">
        <f t="shared" si="24"/>
        <v>2024-25</v>
      </c>
      <c r="CK76" s="690">
        <f t="shared" si="25"/>
        <v>0</v>
      </c>
      <c r="CL76" s="939">
        <f t="shared" si="56"/>
        <v>0</v>
      </c>
      <c r="CM76" s="940">
        <f t="shared" si="56"/>
        <v>0</v>
      </c>
      <c r="CN76" s="940">
        <f t="shared" si="57"/>
        <v>0</v>
      </c>
      <c r="CO76" s="941">
        <f t="shared" si="39"/>
        <v>0</v>
      </c>
      <c r="CP76" s="942">
        <f t="shared" si="76"/>
        <v>0</v>
      </c>
      <c r="CQ76" s="943">
        <f t="shared" si="76"/>
        <v>0</v>
      </c>
      <c r="CR76" s="943">
        <f t="shared" si="76"/>
        <v>0</v>
      </c>
      <c r="CS76" s="941"/>
      <c r="CT76" s="944">
        <f t="shared" si="63"/>
        <v>0</v>
      </c>
      <c r="CU76" s="944">
        <f t="shared" si="63"/>
        <v>0</v>
      </c>
      <c r="CV76" s="944">
        <f t="shared" si="63"/>
        <v>0</v>
      </c>
      <c r="CW76" s="944">
        <f t="shared" si="63"/>
        <v>0</v>
      </c>
      <c r="CX76" s="939">
        <f t="shared" si="77"/>
        <v>0</v>
      </c>
      <c r="CY76" s="940">
        <f t="shared" si="64"/>
        <v>0</v>
      </c>
      <c r="CZ76" s="940">
        <f t="shared" si="65"/>
        <v>0</v>
      </c>
      <c r="DA76" s="941">
        <f t="shared" si="66"/>
        <v>0</v>
      </c>
      <c r="DB76" s="944">
        <f t="shared" ref="DB76" si="140">SUM(CL76+CT76+CX76-CP76)</f>
        <v>0</v>
      </c>
      <c r="DC76" s="8">
        <f t="shared" ref="DC76" si="141">SUM(CM76+CU76+CY76-CQ76)</f>
        <v>0</v>
      </c>
      <c r="DD76" s="8">
        <f t="shared" ref="DD76" si="142">SUM(CN76+CV76+CZ76-CR76)</f>
        <v>0</v>
      </c>
      <c r="DE76" s="8">
        <f>SUM(CO76+CW76+DA76-CS76)</f>
        <v>0</v>
      </c>
      <c r="DF76" s="315"/>
      <c r="DG76" s="945">
        <f>IF(DK76=DATA!$BF$4,1,2)</f>
        <v>2</v>
      </c>
      <c r="DH76" s="945">
        <f>IF(DG76=1,INDEX(CD76:CF76,1,$DI$60),INDEX(AI76:AK76,1,$DI$60))</f>
        <v>0</v>
      </c>
      <c r="DI76" s="945">
        <f t="shared" ref="DI76:DI77" si="143">IF(DG76=1,INDEX(DC76:DE76,1,$DI$60),INDEX(BF76:BH76,1,$DI$60))</f>
        <v>0</v>
      </c>
      <c r="DJ76" s="315"/>
      <c r="DK76" s="420" t="str">
        <f>TRIM(DATA!G72)</f>
        <v>New Tax Regime</v>
      </c>
    </row>
    <row r="77" spans="1:115" ht="14.45" customHeight="1" thickBot="1" x14ac:dyDescent="0.3">
      <c r="A77" s="1437" t="s">
        <v>113</v>
      </c>
      <c r="B77" s="1437"/>
      <c r="C77" s="1437"/>
      <c r="D77" s="322">
        <f>SUM(D63:D76)</f>
        <v>0</v>
      </c>
      <c r="E77" s="322">
        <f t="shared" ref="E77:H77" si="144">SUM(E63:E76)</f>
        <v>0</v>
      </c>
      <c r="F77" s="322">
        <f t="shared" si="144"/>
        <v>0</v>
      </c>
      <c r="G77" s="322">
        <f t="shared" si="144"/>
        <v>0</v>
      </c>
      <c r="H77" s="322">
        <f t="shared" si="144"/>
        <v>0</v>
      </c>
      <c r="I77" s="322">
        <f>SUM(I63:I76)</f>
        <v>0</v>
      </c>
      <c r="O77">
        <v>15</v>
      </c>
      <c r="P77" s="22" t="s">
        <v>1098</v>
      </c>
      <c r="Q77" s="316">
        <f ca="1">ANNEXURE!$K$54-SUM(DATA!$E$59:$E$72)</f>
        <v>1222040</v>
      </c>
      <c r="R77" s="934">
        <f ca="1">MAX(0,IF($Q77&gt;800000,(800000-400000)*5/100,($Q77-400000)*5/100))+MAX(0,IF($Q77&gt;1200000,(1200000-800000)*10/100,($Q77-800000)*10/100))+MAX(0,IF($Q77&gt;1600000,(1600000-1200000)*15/100,($Q77-1200000)*15/100))+MAX(0,IF($Q77&gt;2000000,(2000000-1600000)*20/100,($Q77-1600000)*20/100))+MAX(0,IF($Q77&gt;2400000,(2400000-2000000)*25/100,($Q77-2000000)*25/100))+MAX(0,($Q77-2400000)*30/100)</f>
        <v>63306</v>
      </c>
      <c r="S77" s="934">
        <f ca="1">R77</f>
        <v>63306</v>
      </c>
      <c r="T77" s="934">
        <f ca="1">R77</f>
        <v>63306</v>
      </c>
      <c r="U77" s="934">
        <f ca="1">R77</f>
        <v>63306</v>
      </c>
      <c r="V77" s="935">
        <f ca="1">IF($Q77&gt;1200000,MAX(R77-$Q77+1200000,0),MIN(R77,60000))</f>
        <v>41266</v>
      </c>
      <c r="W77" s="935">
        <f ca="1">V77</f>
        <v>41266</v>
      </c>
      <c r="X77" s="935">
        <f ca="1">V77</f>
        <v>41266</v>
      </c>
      <c r="Y77" s="935">
        <f ca="1">V77</f>
        <v>41266</v>
      </c>
      <c r="Z77" s="745">
        <f t="shared" ref="Z77" ca="1" si="145">ROUND((IF($Q77&lt;5000001,0,(IF($Q77&lt;10000001,(MIN((R77*0.1),(($Q77-5000000)*0.7))),((IF($Q77&gt;10000001,(MIN((($Q77-10000000)*0.7+281250),(R77*0.15)))))))))),0)</f>
        <v>0</v>
      </c>
      <c r="AA77" s="745">
        <f t="shared" ref="AA77" ca="1" si="146">ROUND((IF($Q77&lt;5000001,0,(IF($Q77&lt;10000001,(MIN((S77*0.1),(($Q77-5000000)*0.7))),((IF($Q77&gt;10000001,(MIN((($Q77-10000000)*0.7+281250),(S77*0.15)))))))))),0)</f>
        <v>0</v>
      </c>
      <c r="AB77" s="745">
        <f t="shared" ref="AB77" ca="1" si="147">ROUND((IF($Q77&lt;5000001,0,(IF($Q77&lt;10000001,(MIN((T77*0.1),(($Q77-5000000)*0.7))),((IF($Q77&gt;10000001,(MIN((($Q77-10000000)*0.7+281250),(T77*0.15)))))))))),0)</f>
        <v>0</v>
      </c>
      <c r="AC77" s="745">
        <f t="shared" ref="AC77" ca="1" si="148">ROUND((IF($Q77&lt;5000001,0,(IF($Q77&lt;10000001,(MIN((U77*0.1),(($Q77-5000000)*0.7))),((IF($Q77&gt;10000001,(MIN((($Q77-10000000)*0.7+281250),(U77*0.15)))))))))),0)</f>
        <v>0</v>
      </c>
      <c r="AD77" s="935">
        <f ca="1">ROUND((R77+Z77-V77)*4%,0)</f>
        <v>882</v>
      </c>
      <c r="AE77" s="935">
        <f t="shared" ref="AE77" ca="1" si="149">ROUND((S77+AA77-W77)*4%,0)</f>
        <v>882</v>
      </c>
      <c r="AF77" s="935">
        <f t="shared" ref="AF77" ca="1" si="150">ROUND((T77+AB77-X77)*4%,0)</f>
        <v>882</v>
      </c>
      <c r="AG77" s="935">
        <f t="shared" ref="AG77" ca="1" si="151">ROUND((U77+AC77-Y77)*4%,0)</f>
        <v>882</v>
      </c>
      <c r="AH77" s="527">
        <f ca="1">AD77+Z77+R77-V77</f>
        <v>22922</v>
      </c>
      <c r="AI77" s="527">
        <f t="shared" ref="AI77" ca="1" si="152">AE77+AA77+S77-W77</f>
        <v>22922</v>
      </c>
      <c r="AJ77" s="527">
        <f t="shared" ref="AJ77" ca="1" si="153">AF77+AB77+T77-X77</f>
        <v>22922</v>
      </c>
      <c r="AK77" s="527">
        <f t="shared" ref="AK77" ca="1" si="154">AG77+AC77+U77-Y77</f>
        <v>22922</v>
      </c>
      <c r="AL77" s="936"/>
      <c r="AM77" s="315" t="str">
        <f t="shared" ref="AM77" si="155">P77</f>
        <v>2025-26</v>
      </c>
      <c r="AN77" s="937">
        <f ca="1">IFERROR(ANNEXURE!K54,0)</f>
        <v>1222040</v>
      </c>
      <c r="AO77" s="8">
        <f ca="1">MAX(0,IF($AN77&gt;800000,(800000-400000)*5/100,($AN77-400000)*5/100))+MAX(0,IF($AN77&gt;1200000,(1200000-800000)*10/100,($AN77-800000)*10/100))+MAX(0,IF($AN77&gt;1600000,(1600000-1200000)*15/100,($AN77-1200000)*15/100))+MAX(0,IF($AN77&gt;2000000,(2000000-1600000)*20/100,($AN77-1600000)*20/100))+MAX(0,IF($AN77&gt;2400000,(2400000-2000000)*25/100,($AN77-2000000)*25/100))+MAX(0,($AN77-2400000)*30/100)</f>
        <v>63306</v>
      </c>
      <c r="AP77" s="8">
        <f ca="1">AO77</f>
        <v>63306</v>
      </c>
      <c r="AQ77" s="8">
        <f ca="1">AO77</f>
        <v>63306</v>
      </c>
      <c r="AR77" s="8">
        <f ca="1">AO77</f>
        <v>63306</v>
      </c>
      <c r="AS77" s="8">
        <f ca="1">IF($AN77&gt;1200000,MAX(AO77-$AN77+1200000,0),MIN(AO77,60000))</f>
        <v>41266</v>
      </c>
      <c r="AT77" s="8">
        <f ca="1">IF($AN77&gt;1200000,MAX(AP77-$AN77+1200000,0),MIN(AP77,60000))</f>
        <v>41266</v>
      </c>
      <c r="AU77" s="8">
        <f ca="1">IF($AN77&gt;1200000,MAX(AQ77-$AN77+1200000,0),MIN(AQ77,60000))</f>
        <v>41266</v>
      </c>
      <c r="AV77" s="8">
        <f ca="1">IF($AN77&gt;1200000,MAX(AR77-$AN77+1200000,0),MIN(AR77,60000))</f>
        <v>41266</v>
      </c>
      <c r="AW77" s="8">
        <f ca="1">ROUND((IF($AN77&lt;5000001,0,(IF($AN77&lt;10000001,(MIN((AO77*0.1),(($AN77-5000000)*0.7))),((IF($AN77&gt;10000001,(MIN((($AN77-10000000)*0.7+281250),(AO77*0.15)))))))))),0)</f>
        <v>0</v>
      </c>
      <c r="AX77" s="8">
        <f t="shared" ref="AX77" ca="1" si="156">ROUND((IF($AN77&lt;5000001,0,(IF($AN77&lt;10000001,(MIN((AP77*0.1),(($AN77-5000000)*0.7))),((IF($AN77&gt;10000001,(MIN((($AN77-10000000)*0.7+281250),(AP77*0.15)))))))))),0)</f>
        <v>0</v>
      </c>
      <c r="AY77" s="8">
        <f t="shared" ref="AY77" ca="1" si="157">ROUND((IF($AN77&lt;5000001,0,(IF($AN77&lt;10000001,(MIN((AQ77*0.1),(($AN77-5000000)*0.7))),((IF($AN77&gt;10000001,(MIN((($AN77-10000000)*0.7+281250),(AQ77*0.15)))))))))),0)</f>
        <v>0</v>
      </c>
      <c r="AZ77" s="8">
        <f t="shared" ref="AZ77" ca="1" si="158">ROUND((IF($AN77&lt;5000001,0,(IF($AN77&lt;10000001,(MIN((AR77*0.1),(($AN77-5000000)*0.7))),((IF($AN77&gt;10000001,(MIN((($AN77-10000000)*0.7+281250),(AR77*0.15)))))))))),0)</f>
        <v>0</v>
      </c>
      <c r="BA77" s="8">
        <f ca="1">ROUND((AO77+AW77-AS77)*4%,0)</f>
        <v>882</v>
      </c>
      <c r="BB77" s="8">
        <f t="shared" ref="BB77" ca="1" si="159">ROUND((AP77+AX77-AT77)*4%,0)</f>
        <v>882</v>
      </c>
      <c r="BC77" s="8">
        <f t="shared" ref="BC77" ca="1" si="160">ROUND((AQ77+AY77-AU77)*4%,0)</f>
        <v>882</v>
      </c>
      <c r="BD77" s="8">
        <f t="shared" ref="BD77" ca="1" si="161">ROUND((AR77+AZ77-AV77)*4%,0)</f>
        <v>882</v>
      </c>
      <c r="BE77" s="8">
        <f ca="1">BA77+AW77+AO77-AS77</f>
        <v>22922</v>
      </c>
      <c r="BF77" s="8">
        <f t="shared" ref="BF77" ca="1" si="162">BB77+AX77+AP77-AT77</f>
        <v>22922</v>
      </c>
      <c r="BG77" s="8">
        <f t="shared" ref="BG77" ca="1" si="163">BC77+AY77+AQ77-AU77</f>
        <v>22922</v>
      </c>
      <c r="BH77" s="8">
        <f t="shared" ref="BH77" ca="1" si="164">BD77+AZ77+AR77-AV77</f>
        <v>22922</v>
      </c>
      <c r="BI77" s="315"/>
      <c r="BJ77" s="315"/>
      <c r="BK77" s="8" t="str">
        <f>P77</f>
        <v>2025-26</v>
      </c>
      <c r="BL77" s="938">
        <f ca="1">ANNEXURE!K54-SUMIF(DATA!$D$59:$D$72,"&gt;"&amp;0,DATA!$E$59:$E$72)</f>
        <v>1222040</v>
      </c>
      <c r="BM77" s="939">
        <f t="shared" ca="1" si="53"/>
        <v>179112</v>
      </c>
      <c r="BN77" s="940">
        <f t="shared" ca="1" si="53"/>
        <v>179112</v>
      </c>
      <c r="BO77" s="940">
        <f t="shared" ca="1" si="54"/>
        <v>176612</v>
      </c>
      <c r="BP77" s="941">
        <f t="shared" ca="1" si="33"/>
        <v>166612</v>
      </c>
      <c r="BQ77" s="942">
        <f t="shared" ref="BQ77" ca="1" si="165">IF($BL77&lt;500001,MIN(BM77,12500),0)</f>
        <v>0</v>
      </c>
      <c r="BR77" s="943">
        <f t="shared" ref="BR77" ca="1" si="166">IF($BL77&lt;500001,MIN(BN77,12500),0)</f>
        <v>0</v>
      </c>
      <c r="BS77" s="943">
        <f t="shared" ref="BS77" ca="1" si="167">IF($BL77&lt;500001,MIN(BO77,12500),0)</f>
        <v>0</v>
      </c>
      <c r="BT77" s="941"/>
      <c r="BU77" s="944">
        <f t="shared" ref="BU77" ca="1" si="168">ROUND((IF($BL77&lt;5000001,0,(IF($BL77&lt;10000001,(MIN((BM77*0.1),((BM77-5000000)*0.7))),((IF($BL77&gt;10000001,(MIN((($BL77-10000000)*0.7+281250),(BM77*0.15)))))))))),0)</f>
        <v>0</v>
      </c>
      <c r="BV77" s="944">
        <f t="shared" ref="BV77" ca="1" si="169">ROUND((IF($BL77&lt;5000001,0,(IF($BL77&lt;10000001,(MIN((BN77*0.1),((BN77-5000000)*0.7))),((IF($BL77&gt;10000001,(MIN((($BL77-10000000)*0.7+281250),(BN77*0.15)))))))))),0)</f>
        <v>0</v>
      </c>
      <c r="BW77" s="944">
        <f t="shared" ref="BW77" ca="1" si="170">ROUND((IF($BL77&lt;5000001,0,(IF($BL77&lt;10000001,(MIN((BO77*0.1),((BO77-5000000)*0.7))),((IF($BL77&gt;10000001,(MIN((($BL77-10000000)*0.7+281250),(BO77*0.15)))))))))),0)</f>
        <v>0</v>
      </c>
      <c r="BX77" s="944">
        <f t="shared" ref="BX77" ca="1" si="171">ROUND((IF($BL77&lt;5000001,0,(IF($BL77&lt;10000001,(MIN((BP77*0.1),((BP77-5000000)*0.7))),((IF($BL77&gt;10000001,(MIN((($BL77-10000000)*0.7+281250),(BP77*0.15)))))))))),0)</f>
        <v>0</v>
      </c>
      <c r="BY77" s="939">
        <f t="shared" ref="BY77" ca="1" si="172">ROUND((BM77-BQ77)*4%,0)</f>
        <v>7164</v>
      </c>
      <c r="BZ77" s="940">
        <f t="shared" ref="BZ77" ca="1" si="173">ROUND((BN77-BR77)*4%,0)</f>
        <v>7164</v>
      </c>
      <c r="CA77" s="940">
        <f t="shared" ref="CA77" ca="1" si="174">ROUND((BO77-BS77)*4%,0)</f>
        <v>7064</v>
      </c>
      <c r="CB77" s="941">
        <f t="shared" ref="CB77" ca="1" si="175">ROUND((BP77-BT77)*4%,0)</f>
        <v>6664</v>
      </c>
      <c r="CC77" s="944">
        <f t="shared" ref="CC77" ca="1" si="176">SUM(BM77+BU77+BY77-BQ77)</f>
        <v>186276</v>
      </c>
      <c r="CD77" s="8">
        <f t="shared" ref="CD77" ca="1" si="177">SUM(BN77+BV77+BZ77-BR77)</f>
        <v>186276</v>
      </c>
      <c r="CE77" s="8">
        <f t="shared" ref="CE77" ca="1" si="178">SUM(BO77+BW77+CA77-BS77)</f>
        <v>183676</v>
      </c>
      <c r="CF77" s="8">
        <f t="shared" ref="CF77" ca="1" si="179">SUM(BP77+BX77+CB77-BT77)</f>
        <v>173276</v>
      </c>
      <c r="CG77" s="315"/>
      <c r="CH77" s="315"/>
      <c r="CI77" s="315"/>
      <c r="CJ77" s="813" t="str">
        <f t="shared" ref="CJ77" si="180">BK77</f>
        <v>2025-26</v>
      </c>
      <c r="CK77" s="938">
        <f ca="1">IFERROR(ANNEXURE!K54,0)</f>
        <v>1222040</v>
      </c>
      <c r="CL77" s="939">
        <f t="shared" ca="1" si="56"/>
        <v>179112</v>
      </c>
      <c r="CM77" s="940">
        <f t="shared" ca="1" si="56"/>
        <v>179112</v>
      </c>
      <c r="CN77" s="940">
        <f t="shared" ca="1" si="57"/>
        <v>176612</v>
      </c>
      <c r="CO77" s="941">
        <f t="shared" ca="1" si="39"/>
        <v>166612</v>
      </c>
      <c r="CP77" s="942">
        <f t="shared" ref="CP77" ca="1" si="181">IF($CK77&lt;500001,MIN(CL77,12500),0)</f>
        <v>0</v>
      </c>
      <c r="CQ77" s="943">
        <f t="shared" ref="CQ77" ca="1" si="182">IF($CK77&lt;500001,MIN(CM77,12500),0)</f>
        <v>0</v>
      </c>
      <c r="CR77" s="943">
        <f t="shared" ref="CR77" ca="1" si="183">IF($CK77&lt;500001,MIN(CN77,12500),0)</f>
        <v>0</v>
      </c>
      <c r="CS77" s="941"/>
      <c r="CT77" s="944">
        <f t="shared" ref="CT77" ca="1" si="184">ROUND((IF($CK77&lt;5000001,0,(IF($CK77&lt;10000001,(MIN((CL77*0.1),((CL77-5000000)*0.7))),((IF($CK77&gt;10000001,(MIN((($CK77-10000000)*0.7+281250),(CL77*0.15)))))))))),0)</f>
        <v>0</v>
      </c>
      <c r="CU77" s="944">
        <f t="shared" ref="CU77" ca="1" si="185">ROUND((IF($CK77&lt;5000001,0,(IF($CK77&lt;10000001,(MIN((CM77*0.1),((CM77-5000000)*0.7))),((IF($CK77&gt;10000001,(MIN((($CK77-10000000)*0.7+281250),(CM77*0.15)))))))))),0)</f>
        <v>0</v>
      </c>
      <c r="CV77" s="944">
        <f t="shared" ref="CV77" ca="1" si="186">ROUND((IF($CK77&lt;5000001,0,(IF($CK77&lt;10000001,(MIN((CN77*0.1),((CN77-5000000)*0.7))),((IF($CK77&gt;10000001,(MIN((($CK77-10000000)*0.7+281250),(CN77*0.15)))))))))),0)</f>
        <v>0</v>
      </c>
      <c r="CW77" s="944">
        <f t="shared" ref="CW77" ca="1" si="187">ROUND((IF($CK77&lt;5000001,0,(IF($CK77&lt;10000001,(MIN((CO77*0.1),((CO77-5000000)*0.7))),((IF($CK77&gt;10000001,(MIN((($CK77-10000000)*0.7+281250),(CO77*0.15)))))))))),0)</f>
        <v>0</v>
      </c>
      <c r="CX77" s="939">
        <f t="shared" ref="CX77" ca="1" si="188">ROUND((CL77-CP77)*4%,0)</f>
        <v>7164</v>
      </c>
      <c r="CY77" s="940">
        <f t="shared" ref="CY77" ca="1" si="189">ROUND((CM77-CQ77)*4%,0)</f>
        <v>7164</v>
      </c>
      <c r="CZ77" s="940">
        <f t="shared" ref="CZ77" ca="1" si="190">ROUND((CN77-CR77)*4%,0)</f>
        <v>7064</v>
      </c>
      <c r="DA77" s="941">
        <f t="shared" ref="DA77" ca="1" si="191">ROUND((CO77-CS77)*4%,0)</f>
        <v>6664</v>
      </c>
      <c r="DB77" s="944">
        <f t="shared" ref="DB77" ca="1" si="192">SUM(CL77+CT77+CX77-CP77)</f>
        <v>186276</v>
      </c>
      <c r="DC77" s="8">
        <f t="shared" ref="DC77" ca="1" si="193">SUM(CM77+CU77+CY77-CQ77)</f>
        <v>186276</v>
      </c>
      <c r="DD77" s="8">
        <f t="shared" ref="DD77" ca="1" si="194">SUM(CN77+CV77+CZ77-CR77)</f>
        <v>183676</v>
      </c>
      <c r="DE77" s="8">
        <f ca="1">SUM(CO77+CW77+DA77-CS77)</f>
        <v>173276</v>
      </c>
      <c r="DF77" s="315"/>
      <c r="DG77" s="945">
        <f ca="1">DK77</f>
        <v>2</v>
      </c>
      <c r="DH77" s="945">
        <f ca="1">IF(DG77=1,INDEX(CD77:CF77,1,$DI$60),INDEX(AI77:AK77,1,$DI$60))</f>
        <v>22922</v>
      </c>
      <c r="DI77" s="945">
        <f t="shared" ca="1" si="143"/>
        <v>22922</v>
      </c>
      <c r="DJ77" s="315"/>
      <c r="DK77" s="315">
        <f ca="1">ANNEXURE!$AH$38</f>
        <v>2</v>
      </c>
    </row>
    <row r="78" spans="1:115" ht="8.4499999999999993" customHeight="1" x14ac:dyDescent="0.25">
      <c r="A78" s="88"/>
      <c r="I78" s="301"/>
    </row>
    <row r="79" spans="1:115" ht="12.6" customHeight="1" x14ac:dyDescent="0.3">
      <c r="A79" s="1438" t="s">
        <v>252</v>
      </c>
      <c r="B79" s="1439"/>
      <c r="C79" s="1439"/>
      <c r="D79" s="302" t="s">
        <v>170</v>
      </c>
      <c r="E79" s="272"/>
      <c r="F79" s="272"/>
      <c r="G79" s="303"/>
      <c r="H79" s="303"/>
      <c r="I79" s="304"/>
    </row>
    <row r="80" spans="1:115" ht="5.45" customHeight="1" x14ac:dyDescent="0.3">
      <c r="A80" s="95"/>
      <c r="B80" s="272"/>
      <c r="C80" s="272"/>
      <c r="D80" s="305"/>
      <c r="E80" s="272"/>
      <c r="F80" s="306"/>
      <c r="G80" s="272"/>
      <c r="H80" s="272"/>
      <c r="I80" s="307"/>
    </row>
    <row r="81" spans="1:9" ht="16.5" x14ac:dyDescent="0.3">
      <c r="A81" s="1438" t="s">
        <v>656</v>
      </c>
      <c r="B81" s="1439"/>
      <c r="C81" s="1439"/>
      <c r="D81" s="308"/>
      <c r="E81" s="272"/>
      <c r="F81" s="272"/>
      <c r="G81" s="272" t="s">
        <v>525</v>
      </c>
      <c r="H81" s="272"/>
      <c r="I81" s="307"/>
    </row>
    <row r="82" spans="1:9" ht="16.5" x14ac:dyDescent="0.3">
      <c r="A82" s="95"/>
      <c r="B82" s="272"/>
      <c r="C82" s="272"/>
      <c r="D82" s="272"/>
      <c r="E82" s="272"/>
      <c r="F82" s="309"/>
      <c r="G82" s="306" t="s">
        <v>526</v>
      </c>
      <c r="H82" s="1417" t="str">
        <f>DATA!E5&amp;""</f>
        <v>xyz</v>
      </c>
      <c r="I82" s="1418"/>
    </row>
    <row r="83" spans="1:9" ht="15" customHeight="1" x14ac:dyDescent="0.3">
      <c r="A83" s="88"/>
      <c r="G83" s="18" t="s">
        <v>527</v>
      </c>
      <c r="H83" s="310" t="str">
        <f>DATA!E6&amp;""</f>
        <v>SA Maths</v>
      </c>
      <c r="I83" s="301"/>
    </row>
    <row r="84" spans="1:9" ht="4.1500000000000004" customHeight="1" x14ac:dyDescent="0.25">
      <c r="A84" s="311"/>
      <c r="B84" s="312"/>
      <c r="C84" s="312"/>
      <c r="D84" s="312"/>
      <c r="E84" s="312"/>
      <c r="F84" s="312"/>
      <c r="G84" s="312"/>
      <c r="H84" s="312"/>
      <c r="I84" s="313"/>
    </row>
  </sheetData>
  <sheetProtection algorithmName="SHA-512" hashValue="Nbyerp4C76+7J4WbSKNCWXoi4gzNjF20inFOX1WtetI9XQgwy0zWG4a94fzcCLyDdDEJ0E8b/urzd7Ehmd1Bfg==" saltValue="G4FQHy4lu6t4S3BvWqKL2Q==" spinCount="100000" sheet="1" formatCells="0" formatRows="0" autoFilter="0"/>
  <mergeCells count="78">
    <mergeCell ref="F39:I39"/>
    <mergeCell ref="DG60:DH60"/>
    <mergeCell ref="AO68:BH68"/>
    <mergeCell ref="AO69:AR69"/>
    <mergeCell ref="AS69:AV69"/>
    <mergeCell ref="AW69:AZ69"/>
    <mergeCell ref="BA69:BD69"/>
    <mergeCell ref="BE69:BH69"/>
    <mergeCell ref="BK60:CF60"/>
    <mergeCell ref="BK61:BL61"/>
    <mergeCell ref="CJ61:CK61"/>
    <mergeCell ref="CC61:CF61"/>
    <mergeCell ref="CJ60:DE60"/>
    <mergeCell ref="CL61:CO61"/>
    <mergeCell ref="CP61:CS61"/>
    <mergeCell ref="CT61:CW61"/>
    <mergeCell ref="A44:I44"/>
    <mergeCell ref="A45:I45"/>
    <mergeCell ref="A46:I46"/>
    <mergeCell ref="B47:G47"/>
    <mergeCell ref="B48:G48"/>
    <mergeCell ref="C16:G20"/>
    <mergeCell ref="C22:G23"/>
    <mergeCell ref="C25:G26"/>
    <mergeCell ref="F28:I28"/>
    <mergeCell ref="A31:I31"/>
    <mergeCell ref="A3:I3"/>
    <mergeCell ref="A4:I4"/>
    <mergeCell ref="B8:I8"/>
    <mergeCell ref="C9:G10"/>
    <mergeCell ref="C12:G14"/>
    <mergeCell ref="A33:I34"/>
    <mergeCell ref="A74:C74"/>
    <mergeCell ref="A75:C75"/>
    <mergeCell ref="B51:G51"/>
    <mergeCell ref="B52:G52"/>
    <mergeCell ref="B53:G53"/>
    <mergeCell ref="A73:C73"/>
    <mergeCell ref="A59:I59"/>
    <mergeCell ref="A60:I60"/>
    <mergeCell ref="A61:C61"/>
    <mergeCell ref="B54:G54"/>
    <mergeCell ref="B55:G55"/>
    <mergeCell ref="B56:G56"/>
    <mergeCell ref="A36:D36"/>
    <mergeCell ref="B49:G49"/>
    <mergeCell ref="B50:G50"/>
    <mergeCell ref="A1:I1"/>
    <mergeCell ref="A77:C77"/>
    <mergeCell ref="A79:C79"/>
    <mergeCell ref="A81:C81"/>
    <mergeCell ref="A64:C64"/>
    <mergeCell ref="A63:C63"/>
    <mergeCell ref="A66:C66"/>
    <mergeCell ref="A65:C65"/>
    <mergeCell ref="A68:C68"/>
    <mergeCell ref="A67:C67"/>
    <mergeCell ref="A70:C70"/>
    <mergeCell ref="A69:C69"/>
    <mergeCell ref="A62:C62"/>
    <mergeCell ref="A71:C71"/>
    <mergeCell ref="A72:C72"/>
    <mergeCell ref="D40:E40"/>
    <mergeCell ref="A76:C76"/>
    <mergeCell ref="H82:I82"/>
    <mergeCell ref="DB61:DE61"/>
    <mergeCell ref="R67:S67"/>
    <mergeCell ref="BM61:BP61"/>
    <mergeCell ref="BQ61:BT61"/>
    <mergeCell ref="BU61:BX61"/>
    <mergeCell ref="BY61:CB61"/>
    <mergeCell ref="R68:AK68"/>
    <mergeCell ref="V69:Y69"/>
    <mergeCell ref="AD69:AG69"/>
    <mergeCell ref="Z69:AC69"/>
    <mergeCell ref="R69:U69"/>
    <mergeCell ref="AH69:AK69"/>
    <mergeCell ref="CX61:DA61"/>
  </mergeCells>
  <phoneticPr fontId="7" type="noConversion"/>
  <conditionalFormatting sqref="A3:I84 K50:M51">
    <cfRule type="expression" dxfId="2" priority="2">
      <formula>$M$2="NO"</formula>
    </cfRule>
  </conditionalFormatting>
  <conditionalFormatting sqref="G81">
    <cfRule type="expression" dxfId="1" priority="448" stopIfTrue="1">
      <formula>#REF!=2</formula>
    </cfRule>
  </conditionalFormatting>
  <conditionalFormatting sqref="I47:I56">
    <cfRule type="expression" dxfId="0" priority="449">
      <formula>#REF!=9</formula>
    </cfRule>
  </conditionalFormatting>
  <printOptions horizontalCentered="1"/>
  <pageMargins left="0.27559055118110237" right="0.3" top="0.51181102362204722" bottom="0.35433070866141736" header="0.31496062992125984" footer="0.31496062992125984"/>
  <pageSetup paperSize="9" orientation="portrait" r:id="rId1"/>
  <rowBreaks count="1" manualBreakCount="1">
    <brk id="42" max="8" man="1"/>
  </rowBreaks>
</worksheet>
</file>

<file path=xl/worksheets/sheet1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16B02A98-6101-4DD7-9D11-440D4899CFFE}">
  <sheetPr codeName="Sheet8">
    <tabColor theme="7" tint="0.59999389629810485"/>
    <pageSetUpPr fitToPage="1"/>
  </sheetPr>
  <dimension ref="A1:M53"/>
  <sheetViews>
    <sheetView showGridLines="0" topLeftCell="B12" workbookViewId="0">
      <selection activeCell="D30" sqref="D30"/>
    </sheetView>
  </sheetViews>
  <sheetFormatPr defaultColWidth="0" defaultRowHeight="15" x14ac:dyDescent="0.25"/>
  <cols>
    <col min="1" max="1" width="0.7109375" hidden="1" customWidth="1"/>
    <col min="2" max="2" width="2.7109375" customWidth="1"/>
    <col min="3" max="4" width="3.28515625" customWidth="1"/>
    <col min="5" max="5" width="13" customWidth="1"/>
    <col min="6" max="6" width="6.7109375" customWidth="1"/>
    <col min="7" max="7" width="14.28515625" customWidth="1"/>
    <col min="8" max="8" width="31.7109375" customWidth="1"/>
    <col min="9" max="9" width="12.28515625" customWidth="1"/>
    <col min="10" max="10" width="2.5703125" customWidth="1"/>
    <col min="11" max="11" width="6.42578125" customWidth="1"/>
    <col min="12" max="12" width="2.7109375" customWidth="1"/>
    <col min="13" max="13" width="8.7109375" customWidth="1"/>
    <col min="14" max="16384" width="8.7109375" hidden="1"/>
  </cols>
  <sheetData>
    <row r="1" spans="2:12" ht="52.5" customHeight="1" x14ac:dyDescent="0.25">
      <c r="B1" s="1496" t="s">
        <v>1126</v>
      </c>
      <c r="C1" s="1496"/>
      <c r="D1" s="1496"/>
      <c r="E1" s="1496"/>
      <c r="F1" s="1496"/>
      <c r="G1" s="1496"/>
      <c r="H1" s="1496"/>
      <c r="I1" s="1496"/>
      <c r="J1" s="1496"/>
      <c r="K1" s="1496"/>
      <c r="L1" s="1496"/>
    </row>
    <row r="2" spans="2:12" ht="15.75" x14ac:dyDescent="0.25">
      <c r="B2" s="1560" t="s">
        <v>254</v>
      </c>
      <c r="C2" s="1561"/>
      <c r="D2" s="1561"/>
      <c r="E2" s="1561"/>
      <c r="F2" s="1561"/>
      <c r="G2" s="1561"/>
      <c r="H2" s="1561"/>
      <c r="I2" s="1561"/>
      <c r="J2" s="1561"/>
      <c r="K2" s="1561"/>
      <c r="L2" s="1562"/>
    </row>
    <row r="3" spans="2:12" x14ac:dyDescent="0.25">
      <c r="B3" s="1563" t="s">
        <v>255</v>
      </c>
      <c r="C3" s="1564"/>
      <c r="D3" s="1564"/>
      <c r="E3" s="1564"/>
      <c r="F3" s="1564"/>
      <c r="G3" s="1564"/>
      <c r="H3" s="1564"/>
      <c r="I3" s="1564"/>
      <c r="J3" s="1564"/>
      <c r="K3" s="1564"/>
      <c r="L3" s="1565"/>
    </row>
    <row r="4" spans="2:12" ht="15.75" x14ac:dyDescent="0.25">
      <c r="B4" s="1522" t="str">
        <f>"1. Name and address of the employee:   "&amp;DATA!E5&amp;""</f>
        <v>1. Name and address of the employee:   xyz</v>
      </c>
      <c r="C4" s="1566"/>
      <c r="D4" s="1566"/>
      <c r="E4" s="1566"/>
      <c r="F4" s="1566"/>
      <c r="G4" s="1566"/>
      <c r="H4" s="1566"/>
      <c r="I4" s="1566"/>
      <c r="J4" s="1566"/>
      <c r="K4" s="1566"/>
      <c r="L4" s="1567"/>
    </row>
    <row r="5" spans="2:12" ht="15.75" x14ac:dyDescent="0.25">
      <c r="B5" s="1522" t="str">
        <f>"2. Permanent Account Number of the employee :   "&amp;DATA!E8&amp;""</f>
        <v>2. Permanent Account Number of the employee :   XXX</v>
      </c>
      <c r="C5" s="1566"/>
      <c r="D5" s="1566"/>
      <c r="E5" s="1566"/>
      <c r="F5" s="1566"/>
      <c r="G5" s="1566"/>
      <c r="H5" s="1566"/>
      <c r="I5" s="1566"/>
      <c r="J5" s="1566"/>
      <c r="K5" s="1566"/>
      <c r="L5" s="1567"/>
    </row>
    <row r="6" spans="2:12" ht="15.75" x14ac:dyDescent="0.25">
      <c r="B6" s="1522" t="str">
        <f ca="1">"3. Financial year :  "&amp;ANNEXURE!A3&amp;"               (Note : Opted &gt;&gt; "&amp;ANNEXURE!AH37&amp;")"</f>
        <v>3. Financial year :  2025-2026               (Note : Opted &gt;&gt; New Regime)</v>
      </c>
      <c r="C6" s="1566"/>
      <c r="D6" s="1566"/>
      <c r="E6" s="1566"/>
      <c r="F6" s="1566"/>
      <c r="G6" s="1566"/>
      <c r="H6" s="1566"/>
      <c r="I6" s="1566"/>
      <c r="J6" s="1566"/>
      <c r="K6" s="1566"/>
      <c r="L6" s="1567"/>
    </row>
    <row r="7" spans="2:12" ht="15.75" x14ac:dyDescent="0.25">
      <c r="B7" s="1559" t="s">
        <v>256</v>
      </c>
      <c r="C7" s="1559"/>
      <c r="D7" s="1559"/>
      <c r="E7" s="1559"/>
      <c r="F7" s="1559"/>
      <c r="G7" s="1559"/>
      <c r="H7" s="1559"/>
      <c r="I7" s="1559"/>
      <c r="J7" s="1559"/>
      <c r="K7" s="1559"/>
      <c r="L7" s="1559"/>
    </row>
    <row r="8" spans="2:12" ht="24" customHeight="1" x14ac:dyDescent="0.25">
      <c r="B8" s="488" t="s">
        <v>257</v>
      </c>
      <c r="C8" s="1527" t="s">
        <v>258</v>
      </c>
      <c r="D8" s="1528"/>
      <c r="E8" s="1528"/>
      <c r="F8" s="1528"/>
      <c r="G8" s="1528"/>
      <c r="H8" s="1529"/>
      <c r="I8" s="1005" t="s">
        <v>259</v>
      </c>
      <c r="J8" s="1530" t="s">
        <v>260</v>
      </c>
      <c r="K8" s="1531"/>
      <c r="L8" s="1532"/>
    </row>
    <row r="9" spans="2:12" ht="12" customHeight="1" x14ac:dyDescent="0.25">
      <c r="B9" s="236" t="s">
        <v>261</v>
      </c>
      <c r="C9" s="1533" t="s">
        <v>262</v>
      </c>
      <c r="D9" s="1534"/>
      <c r="E9" s="1534"/>
      <c r="F9" s="1534"/>
      <c r="G9" s="1534"/>
      <c r="H9" s="1535"/>
      <c r="I9" s="236" t="s">
        <v>263</v>
      </c>
      <c r="J9" s="1533" t="s">
        <v>264</v>
      </c>
      <c r="K9" s="1534"/>
      <c r="L9" s="1535"/>
    </row>
    <row r="10" spans="2:12" ht="15.75" x14ac:dyDescent="0.25">
      <c r="B10" s="111">
        <v>1</v>
      </c>
      <c r="C10" s="1536" t="s">
        <v>265</v>
      </c>
      <c r="D10" s="1536"/>
      <c r="E10" s="1536"/>
      <c r="F10" s="1536"/>
      <c r="G10" s="1536"/>
      <c r="H10" s="1536"/>
      <c r="I10" s="112"/>
      <c r="J10" s="1537" t="s">
        <v>170</v>
      </c>
      <c r="K10" s="1537"/>
      <c r="L10" s="1537"/>
    </row>
    <row r="11" spans="2:12" ht="15.75" x14ac:dyDescent="0.25">
      <c r="B11" s="113"/>
      <c r="C11" s="114" t="s">
        <v>191</v>
      </c>
      <c r="D11" s="1539" t="s">
        <v>266</v>
      </c>
      <c r="E11" s="1539"/>
      <c r="F11" s="1539"/>
      <c r="G11" s="1539"/>
      <c r="H11" s="1539"/>
      <c r="I11" s="115">
        <f>IF(ANNEXURE!Q2="",ANNEXURE!P18,ANNEXURE!Q4)</f>
        <v>0</v>
      </c>
      <c r="J11" s="1537"/>
      <c r="K11" s="1537"/>
      <c r="L11" s="1537"/>
    </row>
    <row r="12" spans="2:12" ht="15.4" customHeight="1" x14ac:dyDescent="0.25">
      <c r="B12" s="113"/>
      <c r="C12" s="1536" t="s">
        <v>267</v>
      </c>
      <c r="D12" s="1549" t="s">
        <v>268</v>
      </c>
      <c r="E12" s="1550"/>
      <c r="F12" s="1551"/>
      <c r="G12" s="1555" t="str">
        <f>DATA!M46&amp;""</f>
        <v/>
      </c>
      <c r="H12" s="1556"/>
      <c r="I12" s="1540"/>
      <c r="J12" s="1537"/>
      <c r="K12" s="1537"/>
      <c r="L12" s="1537"/>
    </row>
    <row r="13" spans="2:12" ht="15.75" x14ac:dyDescent="0.25">
      <c r="B13" s="113"/>
      <c r="C13" s="1536"/>
      <c r="D13" s="1552"/>
      <c r="E13" s="1553"/>
      <c r="F13" s="1554"/>
      <c r="G13" s="1557"/>
      <c r="H13" s="1558"/>
      <c r="I13" s="1540"/>
      <c r="J13" s="1537"/>
      <c r="K13" s="1537"/>
      <c r="L13" s="1537"/>
    </row>
    <row r="14" spans="2:12" ht="15.75" x14ac:dyDescent="0.25">
      <c r="B14" s="113"/>
      <c r="C14" s="1537" t="s">
        <v>269</v>
      </c>
      <c r="D14" s="1541" t="s">
        <v>270</v>
      </c>
      <c r="E14" s="1542"/>
      <c r="F14" s="1543"/>
      <c r="G14" s="1547" t="str">
        <f>DATA!M47&amp;""</f>
        <v/>
      </c>
      <c r="H14" s="1547"/>
      <c r="I14" s="1540"/>
      <c r="J14" s="1537"/>
      <c r="K14" s="1537"/>
      <c r="L14" s="1537"/>
    </row>
    <row r="15" spans="2:12" ht="15.75" x14ac:dyDescent="0.25">
      <c r="B15" s="113"/>
      <c r="C15" s="1537"/>
      <c r="D15" s="1544"/>
      <c r="E15" s="1545"/>
      <c r="F15" s="1546"/>
      <c r="G15" s="1547"/>
      <c r="H15" s="1547"/>
      <c r="I15" s="1540"/>
      <c r="J15" s="1537"/>
      <c r="K15" s="1537"/>
      <c r="L15" s="1537"/>
    </row>
    <row r="16" spans="2:12" ht="15.75" x14ac:dyDescent="0.25">
      <c r="B16" s="113"/>
      <c r="C16" s="116" t="s">
        <v>271</v>
      </c>
      <c r="D16" s="1548" t="s">
        <v>272</v>
      </c>
      <c r="E16" s="1548"/>
      <c r="F16" s="1548"/>
      <c r="G16" s="1548"/>
      <c r="H16" s="117" t="str">
        <f>DATA!O45&amp;""</f>
        <v/>
      </c>
      <c r="I16" s="118"/>
      <c r="J16" s="1538"/>
      <c r="K16" s="1538"/>
      <c r="L16" s="1538"/>
    </row>
    <row r="17" spans="2:12" ht="15.75" x14ac:dyDescent="0.25">
      <c r="B17" s="113"/>
      <c r="C17" s="1524" t="s">
        <v>273</v>
      </c>
      <c r="D17" s="1525"/>
      <c r="E17" s="1525"/>
      <c r="F17" s="1525"/>
      <c r="G17" s="1525"/>
      <c r="H17" s="1525"/>
      <c r="I17" s="1525"/>
      <c r="J17" s="1525"/>
      <c r="K17" s="1525"/>
      <c r="L17" s="1526"/>
    </row>
    <row r="18" spans="2:12" ht="15.75" x14ac:dyDescent="0.25">
      <c r="B18" s="119">
        <v>2</v>
      </c>
      <c r="C18" s="1517" t="s">
        <v>274</v>
      </c>
      <c r="D18" s="1518"/>
      <c r="E18" s="1518"/>
      <c r="F18" s="1518"/>
      <c r="G18" s="1518"/>
      <c r="H18" s="1518"/>
      <c r="I18" s="120"/>
      <c r="J18" s="1519"/>
      <c r="K18" s="1519"/>
      <c r="L18" s="1520"/>
    </row>
    <row r="19" spans="2:12" ht="15.75" x14ac:dyDescent="0.25">
      <c r="B19" s="121">
        <v>3</v>
      </c>
      <c r="C19" s="1521" t="s">
        <v>275</v>
      </c>
      <c r="D19" s="1521"/>
      <c r="E19" s="1521"/>
      <c r="F19" s="1521"/>
      <c r="G19" s="1521"/>
      <c r="H19" s="1521"/>
      <c r="I19" s="122"/>
      <c r="J19" s="123"/>
      <c r="K19" s="124"/>
      <c r="L19" s="125"/>
    </row>
    <row r="20" spans="2:12" ht="15.75" x14ac:dyDescent="0.25">
      <c r="B20" s="126"/>
      <c r="C20" s="127" t="s">
        <v>191</v>
      </c>
      <c r="D20" s="1515" t="s">
        <v>276</v>
      </c>
      <c r="E20" s="1515"/>
      <c r="F20" s="1515"/>
      <c r="G20" s="1515"/>
      <c r="H20" s="1516"/>
      <c r="I20" s="128">
        <f>Sections!S45</f>
        <v>0</v>
      </c>
      <c r="J20" s="129"/>
      <c r="K20" s="130"/>
      <c r="L20" s="131"/>
    </row>
    <row r="21" spans="2:12" ht="9" customHeight="1" x14ac:dyDescent="0.25">
      <c r="B21" s="126"/>
      <c r="C21" s="1522" t="s">
        <v>267</v>
      </c>
      <c r="D21" s="1515" t="s">
        <v>277</v>
      </c>
      <c r="E21" s="1515"/>
      <c r="F21" s="1515"/>
      <c r="G21" s="1515"/>
      <c r="H21" s="1516"/>
      <c r="I21" s="1523"/>
      <c r="J21" s="129"/>
      <c r="K21" s="130"/>
      <c r="L21" s="131"/>
    </row>
    <row r="22" spans="2:12" ht="10.5" customHeight="1" x14ac:dyDescent="0.25">
      <c r="B22" s="126"/>
      <c r="C22" s="1522"/>
      <c r="D22" s="1515"/>
      <c r="E22" s="1515"/>
      <c r="F22" s="1515"/>
      <c r="G22" s="1515"/>
      <c r="H22" s="1516"/>
      <c r="I22" s="1523"/>
      <c r="J22" s="129"/>
      <c r="K22" s="130"/>
      <c r="L22" s="131"/>
    </row>
    <row r="23" spans="2:12" ht="15.75" x14ac:dyDescent="0.25">
      <c r="B23" s="126"/>
      <c r="C23" s="127" t="s">
        <v>269</v>
      </c>
      <c r="D23" s="1515" t="s">
        <v>278</v>
      </c>
      <c r="E23" s="1515"/>
      <c r="F23" s="1515"/>
      <c r="G23" s="1515" t="s">
        <v>170</v>
      </c>
      <c r="H23" s="1516"/>
      <c r="I23" s="122"/>
      <c r="J23" s="129"/>
      <c r="K23" s="130"/>
      <c r="L23" s="131"/>
    </row>
    <row r="24" spans="2:12" ht="15.75" x14ac:dyDescent="0.25">
      <c r="B24" s="126"/>
      <c r="C24" s="127" t="s">
        <v>271</v>
      </c>
      <c r="D24" s="132" t="s">
        <v>279</v>
      </c>
      <c r="E24" s="132"/>
      <c r="F24" s="132"/>
      <c r="G24" s="132"/>
      <c r="H24" s="133"/>
      <c r="I24" s="122"/>
      <c r="J24" s="129"/>
      <c r="K24" s="130"/>
      <c r="L24" s="131"/>
    </row>
    <row r="25" spans="2:12" ht="15.75" x14ac:dyDescent="0.25">
      <c r="B25" s="126"/>
      <c r="C25" s="127" t="s">
        <v>182</v>
      </c>
      <c r="D25" s="134" t="s">
        <v>280</v>
      </c>
      <c r="E25" s="134"/>
      <c r="F25" s="134"/>
      <c r="G25" s="134"/>
      <c r="H25" s="135"/>
      <c r="I25" s="122"/>
      <c r="J25" s="129"/>
      <c r="K25" s="130"/>
      <c r="L25" s="131"/>
    </row>
    <row r="26" spans="2:12" ht="15.75" x14ac:dyDescent="0.25">
      <c r="B26" s="126"/>
      <c r="C26" s="127" t="s">
        <v>183</v>
      </c>
      <c r="D26" s="134" t="s">
        <v>281</v>
      </c>
      <c r="E26" s="134"/>
      <c r="F26" s="134"/>
      <c r="G26" s="134"/>
      <c r="H26" s="135"/>
      <c r="I26" s="122"/>
      <c r="J26" s="129"/>
      <c r="K26" s="130"/>
      <c r="L26" s="131"/>
    </row>
    <row r="27" spans="2:12" ht="15.75" x14ac:dyDescent="0.25">
      <c r="B27" s="136"/>
      <c r="C27" s="127" t="s">
        <v>282</v>
      </c>
      <c r="D27" s="134" t="s">
        <v>85</v>
      </c>
      <c r="E27" s="134"/>
      <c r="F27" s="134"/>
      <c r="G27" s="134"/>
      <c r="H27" s="135"/>
      <c r="I27" s="122"/>
      <c r="J27" s="129"/>
      <c r="K27" s="130"/>
      <c r="L27" s="131"/>
    </row>
    <row r="28" spans="2:12" ht="15.75" x14ac:dyDescent="0.25">
      <c r="B28" s="137">
        <v>4</v>
      </c>
      <c r="C28" s="127" t="s">
        <v>283</v>
      </c>
      <c r="D28" s="138"/>
      <c r="E28" s="138"/>
      <c r="F28" s="138"/>
      <c r="G28" s="138"/>
      <c r="H28" s="139"/>
      <c r="I28" s="122"/>
      <c r="J28" s="140"/>
      <c r="K28" s="141"/>
      <c r="L28" s="142"/>
    </row>
    <row r="29" spans="2:12" ht="15.75" x14ac:dyDescent="0.25">
      <c r="B29" s="126"/>
      <c r="C29" s="498"/>
      <c r="D29" s="127" t="str">
        <f>ANNEXURE!C31</f>
        <v xml:space="preserve">GPF  - </v>
      </c>
      <c r="E29" s="138"/>
      <c r="F29" s="138"/>
      <c r="G29" s="138"/>
      <c r="H29" s="139"/>
      <c r="I29" s="122">
        <f ca="1">'Statement(edit)'!S29</f>
        <v>120776</v>
      </c>
      <c r="J29" s="1501"/>
      <c r="K29" s="1501"/>
      <c r="L29" s="1501"/>
    </row>
    <row r="30" spans="2:12" ht="15.75" x14ac:dyDescent="0.25">
      <c r="B30" s="126"/>
      <c r="C30" s="499"/>
      <c r="D30" s="127" t="str">
        <f>ANNEXURE!C32</f>
        <v>APGLI    No     (____________________ )</v>
      </c>
      <c r="E30" s="138"/>
      <c r="F30" s="138"/>
      <c r="G30" s="138"/>
      <c r="H30" s="139"/>
      <c r="I30" s="590">
        <f>'Statement(edit)'!T29</f>
        <v>36000</v>
      </c>
      <c r="J30" s="1501"/>
      <c r="K30" s="1501"/>
      <c r="L30" s="1501"/>
    </row>
    <row r="31" spans="2:12" ht="15.75" x14ac:dyDescent="0.25">
      <c r="B31" s="126"/>
      <c r="C31" s="499"/>
      <c r="D31" s="127" t="str">
        <f>ANNEXURE!C33</f>
        <v>GIS</v>
      </c>
      <c r="E31" s="138"/>
      <c r="F31" s="138"/>
      <c r="G31" s="138"/>
      <c r="H31" s="139"/>
      <c r="I31" s="122">
        <f>'Statement(edit)'!U29</f>
        <v>1440</v>
      </c>
      <c r="J31" s="1501"/>
      <c r="K31" s="1501"/>
      <c r="L31" s="1501"/>
    </row>
    <row r="32" spans="2:12" ht="15.75" x14ac:dyDescent="0.25">
      <c r="B32" s="126"/>
      <c r="C32" s="499"/>
      <c r="D32" s="127" t="str">
        <f>ANNEXURE!C34</f>
        <v xml:space="preserve">Children Tution Fee </v>
      </c>
      <c r="E32" s="138"/>
      <c r="F32" s="138"/>
      <c r="G32" s="138"/>
      <c r="H32" s="139"/>
      <c r="I32" s="122">
        <f>Sections!H29</f>
        <v>0</v>
      </c>
      <c r="J32" s="1501"/>
      <c r="K32" s="1501"/>
      <c r="L32" s="1501"/>
    </row>
    <row r="33" spans="2:12" ht="15.75" x14ac:dyDescent="0.25">
      <c r="B33" s="126"/>
      <c r="C33" s="499"/>
      <c r="D33" s="127" t="str">
        <f>ANNEXURE!C35</f>
        <v>Repayment of Home Loan Premium (principal component)</v>
      </c>
      <c r="E33" s="138"/>
      <c r="F33" s="138"/>
      <c r="G33" s="138"/>
      <c r="H33" s="139"/>
      <c r="I33" s="122">
        <f>Sections!H30</f>
        <v>0</v>
      </c>
      <c r="J33" s="1501"/>
      <c r="K33" s="1501"/>
      <c r="L33" s="1501"/>
    </row>
    <row r="34" spans="2:12" ht="15.75" x14ac:dyDescent="0.25">
      <c r="B34" s="126"/>
      <c r="C34" s="499"/>
      <c r="D34" s="127" t="str">
        <f>ANNEXURE!C36</f>
        <v>National Savings Certificate(NSC)</v>
      </c>
      <c r="E34" s="138"/>
      <c r="F34" s="138"/>
      <c r="G34" s="138"/>
      <c r="H34" s="139"/>
      <c r="I34" s="122">
        <f>Sections!H31</f>
        <v>0</v>
      </c>
      <c r="J34" s="1501"/>
      <c r="K34" s="1501"/>
      <c r="L34" s="1501"/>
    </row>
    <row r="35" spans="2:12" ht="15.75" x14ac:dyDescent="0.25">
      <c r="B35" s="126"/>
      <c r="C35" s="499"/>
      <c r="D35" s="127" t="str">
        <f>ANNEXURE!C37</f>
        <v>LIC Annual Premiums Paid by Hand</v>
      </c>
      <c r="E35" s="138"/>
      <c r="F35" s="138"/>
      <c r="G35" s="138"/>
      <c r="H35" s="139"/>
      <c r="I35" s="122">
        <f>Sections!H32</f>
        <v>0</v>
      </c>
      <c r="J35" s="1501"/>
      <c r="K35" s="1501"/>
      <c r="L35" s="1501"/>
    </row>
    <row r="36" spans="2:12" ht="15.75" x14ac:dyDescent="0.25">
      <c r="B36" s="126"/>
      <c r="C36" s="499"/>
      <c r="D36" s="127" t="str">
        <f>ANNEXURE!C38</f>
        <v>PLI Annual Premuim</v>
      </c>
      <c r="E36" s="138"/>
      <c r="F36" s="138"/>
      <c r="G36" s="138"/>
      <c r="H36" s="139"/>
      <c r="I36" s="122">
        <f>Sections!H33</f>
        <v>0</v>
      </c>
      <c r="J36" s="1501"/>
      <c r="K36" s="1501"/>
      <c r="L36" s="1501"/>
    </row>
    <row r="37" spans="2:12" ht="15.75" x14ac:dyDescent="0.25">
      <c r="B37" s="126"/>
      <c r="C37" s="499"/>
      <c r="D37" s="127" t="str">
        <f>ANNEXURE!C39</f>
        <v>Any other deductable (u/s 80C)</v>
      </c>
      <c r="E37" s="138"/>
      <c r="F37" s="138"/>
      <c r="G37" s="138"/>
      <c r="H37" s="139"/>
      <c r="I37" s="122">
        <f>Sections!H34</f>
        <v>0</v>
      </c>
      <c r="J37" s="1501"/>
      <c r="K37" s="1501"/>
      <c r="L37" s="1501"/>
    </row>
    <row r="38" spans="2:12" ht="15.75" x14ac:dyDescent="0.25">
      <c r="B38" s="126"/>
      <c r="C38" s="499"/>
      <c r="D38" s="127" t="str">
        <f>ANNEXURE!C40</f>
        <v>Total Deduction (U/s 80 C)</v>
      </c>
      <c r="E38" s="138"/>
      <c r="F38" s="138"/>
      <c r="G38" s="138"/>
      <c r="H38" s="139"/>
      <c r="I38" s="122">
        <f ca="1">ANNEXURE!I40</f>
        <v>0</v>
      </c>
      <c r="J38" s="1501"/>
      <c r="K38" s="1501"/>
      <c r="L38" s="1501"/>
    </row>
    <row r="39" spans="2:12" ht="15.75" x14ac:dyDescent="0.25">
      <c r="B39" s="126"/>
      <c r="C39" s="500"/>
      <c r="D39" s="127" t="str">
        <f>ANNEXURE!C41</f>
        <v>Employee contribution to CPS(NPS)-u/s 80 CCD (1)PRAN No:</v>
      </c>
      <c r="E39" s="138"/>
      <c r="F39" s="138"/>
      <c r="G39" s="138"/>
      <c r="H39" s="139"/>
      <c r="I39" s="122">
        <f ca="1">Sections!H40</f>
        <v>112560</v>
      </c>
      <c r="J39" s="1501"/>
      <c r="K39" s="1501"/>
      <c r="L39" s="1501"/>
    </row>
    <row r="40" spans="2:12" ht="15.75" x14ac:dyDescent="0.25">
      <c r="B40" s="126"/>
      <c r="C40" s="127"/>
      <c r="D40" s="248" t="s">
        <v>460</v>
      </c>
      <c r="E40" s="138"/>
      <c r="F40" s="138"/>
      <c r="G40" s="138"/>
      <c r="H40" s="139"/>
      <c r="I40" s="122">
        <v>0</v>
      </c>
      <c r="J40" s="1512"/>
      <c r="K40" s="1513"/>
      <c r="L40" s="1514"/>
    </row>
    <row r="41" spans="2:12" ht="15.75" x14ac:dyDescent="0.25">
      <c r="B41" s="126"/>
      <c r="D41" s="237" t="str">
        <f>ANNEXURE!C44</f>
        <v>80G-EWF.SWF,CMRF</v>
      </c>
      <c r="E41" s="138"/>
      <c r="F41" s="138"/>
      <c r="G41" s="138"/>
      <c r="H41" s="139"/>
      <c r="I41" s="122">
        <f>'Statement(edit)'!X29</f>
        <v>120</v>
      </c>
      <c r="J41" s="1501"/>
      <c r="K41" s="1501"/>
      <c r="L41" s="1501"/>
    </row>
    <row r="42" spans="2:12" ht="15.75" x14ac:dyDescent="0.25">
      <c r="B42" s="126"/>
      <c r="D42" s="237" t="str">
        <f>ANNEXURE!C45</f>
        <v>80E-Interest on Educational Loan</v>
      </c>
      <c r="E42" s="138"/>
      <c r="F42" s="138"/>
      <c r="G42" s="138"/>
      <c r="H42" s="139"/>
      <c r="I42" s="122">
        <f>Sections!R36</f>
        <v>0</v>
      </c>
      <c r="J42" s="1501"/>
      <c r="K42" s="1501"/>
      <c r="L42" s="1501"/>
    </row>
    <row r="43" spans="2:12" ht="15.75" x14ac:dyDescent="0.25">
      <c r="B43" s="126"/>
      <c r="D43" s="237" t="str">
        <f>ANNEXURE!C46</f>
        <v>80DD-Treatment of Handicapped Dependent-above 80%disability</v>
      </c>
      <c r="E43" s="138"/>
      <c r="F43" s="138"/>
      <c r="G43" s="138"/>
      <c r="H43" s="139"/>
      <c r="I43" s="122">
        <f>Sections!R37</f>
        <v>0</v>
      </c>
      <c r="J43" s="1501"/>
      <c r="K43" s="1501"/>
      <c r="L43" s="1501"/>
    </row>
    <row r="44" spans="2:12" ht="15.75" x14ac:dyDescent="0.25">
      <c r="B44" s="126"/>
      <c r="D44" s="237" t="str">
        <f>ANNEXURE!C47</f>
        <v>80D-Medical Insurance Premium-senior citizen dependent parents</v>
      </c>
      <c r="E44" s="138"/>
      <c r="F44" s="138"/>
      <c r="G44" s="138"/>
      <c r="H44" s="139"/>
      <c r="I44" s="122">
        <f>Sections!R38</f>
        <v>0</v>
      </c>
      <c r="J44" s="1501"/>
      <c r="K44" s="1501"/>
      <c r="L44" s="1501"/>
    </row>
    <row r="45" spans="2:12" ht="15.75" x14ac:dyDescent="0.25">
      <c r="B45" s="126"/>
      <c r="D45" s="237" t="str">
        <f>ANNEXURE!C48</f>
        <v>80TTA-Interest on Savings account</v>
      </c>
      <c r="E45" s="138"/>
      <c r="F45" s="138"/>
      <c r="G45" s="138"/>
      <c r="H45" s="139"/>
      <c r="I45" s="122">
        <f>Sections!R39</f>
        <v>0</v>
      </c>
      <c r="J45" s="1501"/>
      <c r="K45" s="1501"/>
      <c r="L45" s="1501"/>
    </row>
    <row r="46" spans="2:12" ht="15.75" x14ac:dyDescent="0.25">
      <c r="B46" s="126"/>
      <c r="D46" s="237" t="str">
        <f>ANNEXURE!C49</f>
        <v>80D-Medical Insurance Premium-Self ,Spouse &amp; Children</v>
      </c>
      <c r="E46" s="138"/>
      <c r="F46" s="138"/>
      <c r="G46" s="138"/>
      <c r="H46" s="139"/>
      <c r="I46" s="122">
        <f>Sections!R40</f>
        <v>0</v>
      </c>
      <c r="J46" s="1501"/>
      <c r="K46" s="1501"/>
      <c r="L46" s="1501"/>
    </row>
    <row r="47" spans="2:12" ht="15.75" x14ac:dyDescent="0.25">
      <c r="B47" s="126"/>
      <c r="D47" s="237" t="str">
        <f>ANNEXURE!C50</f>
        <v>Employer  Contribution towards NPS 80CCD(2)</v>
      </c>
      <c r="E47" s="138"/>
      <c r="F47" s="138"/>
      <c r="G47" s="138"/>
      <c r="H47" s="139"/>
      <c r="I47" s="122">
        <f ca="1">Sections!R41</f>
        <v>120776</v>
      </c>
      <c r="J47" s="1501"/>
      <c r="K47" s="1501"/>
      <c r="L47" s="1501"/>
    </row>
    <row r="48" spans="2:12" ht="15.75" x14ac:dyDescent="0.25">
      <c r="B48" s="136"/>
      <c r="C48" s="127"/>
      <c r="D48" s="138" t="s">
        <v>461</v>
      </c>
      <c r="E48" s="138"/>
      <c r="F48" s="138"/>
      <c r="G48" s="138"/>
      <c r="H48" s="139"/>
      <c r="I48" s="122">
        <f ca="1">SUM(I41:I47)</f>
        <v>120896</v>
      </c>
      <c r="J48" s="1501"/>
      <c r="K48" s="1501"/>
      <c r="L48" s="1501"/>
    </row>
    <row r="49" spans="2:12" ht="13.15" customHeight="1" x14ac:dyDescent="0.25">
      <c r="B49" s="1502" t="s">
        <v>251</v>
      </c>
      <c r="C49" s="1503"/>
      <c r="D49" s="1503"/>
      <c r="E49" s="1503"/>
      <c r="F49" s="1503"/>
      <c r="G49" s="1503"/>
      <c r="H49" s="1503"/>
      <c r="I49" s="1503"/>
      <c r="J49" s="1503"/>
      <c r="K49" s="1503"/>
      <c r="L49" s="1504"/>
    </row>
    <row r="50" spans="2:12" ht="13.9" customHeight="1" x14ac:dyDescent="0.25">
      <c r="B50" s="1505" t="str">
        <f>"I, "&amp;DATA!E5&amp;" do hereby certify that the information given above is complete and correct."</f>
        <v>I, xyz do hereby certify that the information given above is complete and correct.</v>
      </c>
      <c r="C50" s="1506"/>
      <c r="D50" s="1506"/>
      <c r="E50" s="1506"/>
      <c r="F50" s="1506"/>
      <c r="G50" s="1506"/>
      <c r="H50" s="1506"/>
      <c r="I50" s="1506"/>
      <c r="J50" s="1506"/>
      <c r="K50" s="1506"/>
      <c r="L50" s="1507"/>
    </row>
    <row r="51" spans="2:12" ht="22.5" customHeight="1" x14ac:dyDescent="0.25">
      <c r="B51" s="143" t="str">
        <f>"Place : "&amp;DATA!E7&amp;""</f>
        <v>Place : ZPHS Marepally</v>
      </c>
      <c r="C51" s="144"/>
      <c r="D51" s="144"/>
      <c r="E51" s="144"/>
      <c r="F51" s="144"/>
      <c r="G51" s="144"/>
      <c r="H51" s="144"/>
      <c r="I51" s="1510"/>
      <c r="J51" s="1510"/>
      <c r="K51" s="1510"/>
      <c r="L51" s="1511"/>
    </row>
    <row r="52" spans="2:12" ht="15.75" x14ac:dyDescent="0.25">
      <c r="B52" s="1508" t="str">
        <f ca="1">TEXT(TODAY(),"dd/mm/yyyy")</f>
        <v>04/02/2026</v>
      </c>
      <c r="C52" s="1509"/>
      <c r="D52" s="1509"/>
      <c r="E52" s="1509"/>
      <c r="F52" s="145"/>
      <c r="G52" s="145"/>
      <c r="H52" s="1497" t="s">
        <v>284</v>
      </c>
      <c r="I52" s="1497"/>
      <c r="J52" s="1497"/>
      <c r="K52" s="1497"/>
      <c r="L52" s="1498"/>
    </row>
    <row r="53" spans="2:12" ht="15.75" x14ac:dyDescent="0.25">
      <c r="B53" s="146" t="str">
        <f>"Designation : "&amp;DATA!E6&amp;""</f>
        <v>Designation : SA Maths</v>
      </c>
      <c r="C53" s="147"/>
      <c r="D53" s="147"/>
      <c r="E53" s="147"/>
      <c r="F53" s="147"/>
      <c r="G53" s="147"/>
      <c r="H53" s="1499" t="str">
        <f>"Full Name : "&amp;DATA!E5</f>
        <v>Full Name : xyz</v>
      </c>
      <c r="I53" s="1499"/>
      <c r="J53" s="1499"/>
      <c r="K53" s="1499"/>
      <c r="L53" s="1500"/>
    </row>
  </sheetData>
  <sheetProtection algorithmName="SHA-512" hashValue="PZJYQXX5F3lO+2xt4JlVgGc1QPF26cYXphoaUMLu9lfI6+cnoAPSPZDuSY/AZpl+6pS56HlZpe6+3kCHDLmbOA==" saltValue="quT4QOBc5mpJLNgEWnS88g==" spinCount="100000" sheet="1" formatCells="0" formatColumns="0" formatRows="0" autoFilter="0"/>
  <mergeCells count="59">
    <mergeCell ref="G12:H13"/>
    <mergeCell ref="B7:L7"/>
    <mergeCell ref="B2:L2"/>
    <mergeCell ref="B3:L3"/>
    <mergeCell ref="B4:L4"/>
    <mergeCell ref="B5:L5"/>
    <mergeCell ref="B6:L6"/>
    <mergeCell ref="C17:L17"/>
    <mergeCell ref="C8:H8"/>
    <mergeCell ref="J8:L8"/>
    <mergeCell ref="C9:H9"/>
    <mergeCell ref="J9:L9"/>
    <mergeCell ref="C10:H10"/>
    <mergeCell ref="J10:L16"/>
    <mergeCell ref="D11:H11"/>
    <mergeCell ref="C12:C13"/>
    <mergeCell ref="I12:I13"/>
    <mergeCell ref="C14:C15"/>
    <mergeCell ref="D14:F15"/>
    <mergeCell ref="G14:H15"/>
    <mergeCell ref="I14:I15"/>
    <mergeCell ref="D16:G16"/>
    <mergeCell ref="D12:F13"/>
    <mergeCell ref="C18:H18"/>
    <mergeCell ref="J18:L18"/>
    <mergeCell ref="C19:H19"/>
    <mergeCell ref="D20:H20"/>
    <mergeCell ref="C21:C22"/>
    <mergeCell ref="D21:H22"/>
    <mergeCell ref="I21:I22"/>
    <mergeCell ref="J43:L43"/>
    <mergeCell ref="J38:L38"/>
    <mergeCell ref="D23:F23"/>
    <mergeCell ref="G23:H23"/>
    <mergeCell ref="J29:L29"/>
    <mergeCell ref="J30:L30"/>
    <mergeCell ref="J31:L31"/>
    <mergeCell ref="J32:L32"/>
    <mergeCell ref="J33:L33"/>
    <mergeCell ref="J34:L34"/>
    <mergeCell ref="J35:L35"/>
    <mergeCell ref="J36:L36"/>
    <mergeCell ref="J37:L37"/>
    <mergeCell ref="B1:L1"/>
    <mergeCell ref="H52:L52"/>
    <mergeCell ref="H53:L53"/>
    <mergeCell ref="J48:L48"/>
    <mergeCell ref="B49:L49"/>
    <mergeCell ref="B50:L50"/>
    <mergeCell ref="B52:E52"/>
    <mergeCell ref="J44:L44"/>
    <mergeCell ref="J45:L45"/>
    <mergeCell ref="J46:L46"/>
    <mergeCell ref="J47:L47"/>
    <mergeCell ref="I51:L51"/>
    <mergeCell ref="J39:L39"/>
    <mergeCell ref="J40:L40"/>
    <mergeCell ref="J41:L41"/>
    <mergeCell ref="J42:L42"/>
  </mergeCells>
  <printOptions horizontalCentered="1"/>
  <pageMargins left="0.23622047244094491" right="0.23622047244094491" top="0.35433070866141736" bottom="0.23622047244094491" header="0.31496062992125984" footer="0.27559055118110237"/>
  <pageSetup paperSize="9" scale="99" orientation="portrait" r:id="rId1"/>
</worksheet>
</file>

<file path=xl/worksheets/sheet1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C9688F14-4E01-4358-BCD1-97066DEDDB6B}">
  <sheetPr codeName="Sheet1"/>
  <dimension ref="A1:CI38"/>
  <sheetViews>
    <sheetView workbookViewId="0">
      <selection activeCell="BQ23" sqref="BQ23"/>
    </sheetView>
  </sheetViews>
  <sheetFormatPr defaultRowHeight="15" x14ac:dyDescent="0.25"/>
  <cols>
    <col min="3" max="3" width="6.28515625" customWidth="1"/>
    <col min="4" max="4" width="7.7109375" bestFit="1" customWidth="1"/>
    <col min="5" max="5" width="4.7109375" customWidth="1"/>
    <col min="6" max="6" width="7.85546875" customWidth="1"/>
    <col min="7" max="7" width="17.5703125" bestFit="1" customWidth="1"/>
    <col min="8" max="8" width="10.42578125" bestFit="1" customWidth="1"/>
    <col min="9" max="9" width="16.7109375" bestFit="1" customWidth="1"/>
    <col min="10" max="10" width="9.28515625" customWidth="1"/>
    <col min="11" max="11" width="9" customWidth="1"/>
    <col min="12" max="12" width="5.28515625" customWidth="1"/>
    <col min="13" max="13" width="6.28515625" customWidth="1"/>
    <col min="14" max="14" width="7.7109375" customWidth="1"/>
    <col min="15" max="15" width="7.28515625" customWidth="1"/>
    <col min="16" max="16" width="7.7109375" customWidth="1"/>
    <col min="17" max="17" width="8" customWidth="1"/>
    <col min="18" max="18" width="5.28515625" customWidth="1"/>
    <col min="19" max="19" width="6.7109375" customWidth="1"/>
    <col min="20" max="20" width="6.85546875" customWidth="1"/>
    <col min="21" max="21" width="6.28515625" customWidth="1"/>
    <col min="22" max="23" width="8.140625" customWidth="1"/>
    <col min="24" max="24" width="13.28515625" customWidth="1"/>
    <col min="25" max="25" width="14.7109375" customWidth="1"/>
    <col min="26" max="26" width="8.42578125" customWidth="1"/>
    <col min="27" max="27" width="7.85546875" customWidth="1"/>
    <col min="28" max="28" width="6.28515625" customWidth="1"/>
    <col min="29" max="29" width="5.7109375" customWidth="1"/>
    <col min="30" max="30" width="10.28515625" customWidth="1"/>
    <col min="31" max="31" width="6.85546875" customWidth="1"/>
    <col min="32" max="32" width="10.28515625" customWidth="1"/>
    <col min="33" max="35" width="9.28515625" customWidth="1"/>
    <col min="36" max="36" width="11.7109375" customWidth="1"/>
    <col min="37" max="37" width="8.28515625" customWidth="1"/>
    <col min="38" max="38" width="7.7109375" customWidth="1"/>
    <col min="39" max="39" width="8.7109375" customWidth="1"/>
    <col min="40" max="40" width="8.85546875" customWidth="1"/>
    <col min="41" max="41" width="8.28515625" customWidth="1"/>
    <col min="42" max="42" width="8.7109375" customWidth="1"/>
    <col min="43" max="43" width="8.5703125" customWidth="1"/>
    <col min="44" max="47" width="8.7109375" customWidth="1"/>
    <col min="48" max="48" width="5.28515625" customWidth="1"/>
    <col min="49" max="49" width="7.7109375" customWidth="1"/>
    <col min="50" max="56" width="8.7109375" customWidth="1"/>
    <col min="57" max="57" width="10.42578125" customWidth="1"/>
    <col min="58" max="61" width="8.7109375" customWidth="1"/>
    <col min="62" max="62" width="13.42578125" customWidth="1"/>
    <col min="63" max="66" width="8.7109375" customWidth="1"/>
    <col min="67" max="67" width="10.42578125" customWidth="1"/>
    <col min="68" max="77" width="8.7109375" customWidth="1"/>
    <col min="79" max="79" width="7.7109375" bestFit="1" customWidth="1"/>
    <col min="80" max="81" width="10.42578125" bestFit="1" customWidth="1"/>
  </cols>
  <sheetData>
    <row r="1" spans="1:87" x14ac:dyDescent="0.25">
      <c r="W1" s="18" t="s">
        <v>1014</v>
      </c>
      <c r="X1" s="418">
        <v>45108</v>
      </c>
      <c r="Y1" s="12"/>
      <c r="Z1" s="12"/>
      <c r="AF1" s="25">
        <f>IFERROR(INDEX(DATA!$CW$4:$CW$48,MATCH(Table!AF2,DATA!$CV$4:$CV$48,0),1),DATA!$CX$48)</f>
        <v>47087</v>
      </c>
      <c r="AG1" s="25">
        <f>IFERROR(INDEX(DATA!$CW$4:$CW$48,MATCH(Table!AG2,DATA!$CV$4:$CV$48,0),1),DATA!$CX$48)</f>
        <v>47087</v>
      </c>
      <c r="AH1" s="25">
        <f>IFERROR(INDEX(DATA!$CW$4:$CW$48,MATCH(Table!AH2,DATA!$CV$4:$CV$48,0),1),DATA!$CX$48)</f>
        <v>47087</v>
      </c>
      <c r="AI1" s="25">
        <f>IFERROR(INDEX(DATA!$CW$4:$CW$48,MATCH(Table!AI2,DATA!$CV$4:$CV$48,0),1),DATA!$CX$48)</f>
        <v>47087</v>
      </c>
      <c r="AJ1" s="25">
        <f>IFERROR(INDEX(DATA!$CW$4:$CW$48,MATCH(Table!AJ2,DATA!$CV$4:$CV$48,0),1),DATA!$CX$48)</f>
        <v>47087</v>
      </c>
      <c r="AK1" s="25"/>
      <c r="AP1" s="25">
        <f>IFERROR(INDEX(DATA!$CW$4:$CW$48,MATCH(Table!AP2,DATA!$CV$4:$CV$48,0),1),DATA!$CX$48)</f>
        <v>47087</v>
      </c>
      <c r="AY1" s="23" t="str">
        <f>IFERROR(INDEX($M$7:$M$24,MATCH(AZ1,$K$7:$K$24,0),1),"")</f>
        <v/>
      </c>
      <c r="AZ1" s="23" t="s">
        <v>601</v>
      </c>
      <c r="BA1" s="23">
        <f>IFERROR(IF(MATCH(AZ1,$BD$1:$BD$2,0)&gt;=1,2,1),1)</f>
        <v>1</v>
      </c>
      <c r="BB1" s="315" t="str">
        <f>IFERROR(IF(DATE(YEAR(DATA!DF52),MONTH(DATA!DF52),0)=DATE(YEAR(DATA!DF54),MONTH(DATA!DF54),0),1,2),"")</f>
        <v/>
      </c>
      <c r="BC1" s="324">
        <f>IF(BB1=2,MAX(AY1:AY2),MAX(AY1:AY4))</f>
        <v>0</v>
      </c>
      <c r="BD1" s="324">
        <f>IFERROR(INDEX($AZ$1:$AZ$4,MATCH(BC1,$AY$1:$AY$4,0),1),100)</f>
        <v>100</v>
      </c>
      <c r="BE1" s="439" t="str">
        <f>IFERROR(INDEX($G$7:$G$25,MATCH(BD1,$K$7:$K$24,0),1),"")</f>
        <v/>
      </c>
      <c r="CA1">
        <f>IF(LEFT(BD1,3)="HRA",1,2)</f>
        <v>2</v>
      </c>
      <c r="CB1" s="4" t="e">
        <f>EOMONTH(BE1,-1)+1</f>
        <v>#VALUE!</v>
      </c>
      <c r="CC1" s="4" t="e">
        <f>EOMONTH(BE1,0)</f>
        <v>#VALUE!</v>
      </c>
    </row>
    <row r="2" spans="1:87" x14ac:dyDescent="0.25">
      <c r="H2" s="315"/>
      <c r="N2" s="22" t="s">
        <v>104</v>
      </c>
      <c r="AF2" s="24">
        <f>DATA!O23</f>
        <v>0</v>
      </c>
      <c r="AG2">
        <f>DATA!O24</f>
        <v>0</v>
      </c>
      <c r="AH2">
        <f>DATA!O25</f>
        <v>0</v>
      </c>
      <c r="AI2">
        <f>DATA!O27</f>
        <v>0</v>
      </c>
      <c r="AJ2">
        <f>DATA!O28</f>
        <v>0</v>
      </c>
      <c r="AP2" s="316" t="str">
        <f>DATA!O48</f>
        <v>Aug-2023</v>
      </c>
      <c r="AY2" s="23" t="str">
        <f>IFERROR(INDEX($M$7:$M$24,MATCH(AZ2,$K$7:$K$24,0),1),"")</f>
        <v/>
      </c>
      <c r="AZ2" s="23" t="s">
        <v>602</v>
      </c>
      <c r="BA2" s="23">
        <f>IFERROR(IF(MATCH(AZ2,$BD$1:$BD$2,0)&gt;=1,2,1),1)</f>
        <v>1</v>
      </c>
      <c r="BC2" s="324">
        <f>IF(BB1=2,MAX(AY3:AY4),MAX(AY1:AY4))</f>
        <v>0</v>
      </c>
      <c r="BD2" s="324">
        <f>IFERROR(INDEX(AZ3:AZ4,MATCH(BC2,AY3:AY4,0),1),100)</f>
        <v>100</v>
      </c>
      <c r="BE2" s="439" t="str">
        <f>IFERROR(INDEX($G$7:$G$25,MATCH(BD2,$K$7:$K$24,0),1),"")</f>
        <v/>
      </c>
      <c r="CA2">
        <f>IF(LEFT(BD2,3)="HRA",1,2)</f>
        <v>2</v>
      </c>
      <c r="CB2" s="4" t="e">
        <f>EOMONTH(BE2,-1)+1</f>
        <v>#VALUE!</v>
      </c>
      <c r="CC2" s="4" t="e">
        <f>EOMONTH(BE2,0)</f>
        <v>#VALUE!</v>
      </c>
    </row>
    <row r="3" spans="1:87" x14ac:dyDescent="0.25">
      <c r="H3" s="315"/>
      <c r="N3" s="22" t="s">
        <v>29</v>
      </c>
      <c r="AY3" s="23" t="str">
        <f>IFERROR(INDEX($M$7:$M$24,MATCH(AZ3,$K$7:$K$24,0),1),"")</f>
        <v/>
      </c>
      <c r="AZ3" s="23" t="s">
        <v>611</v>
      </c>
      <c r="BA3" s="23">
        <f>IFERROR(IF(MATCH(AZ3,$BD$1:$BD$2,0)&gt;=1,2,1),1)</f>
        <v>1</v>
      </c>
    </row>
    <row r="4" spans="1:87" x14ac:dyDescent="0.25">
      <c r="N4" s="22" t="s">
        <v>30</v>
      </c>
      <c r="S4">
        <f>IFERROR(IF(AND(J7=DATA!$CH$8,AY7&lt;=180),ROUND(N7*R7%,0),ROUND(O7*R7%,0)),0)</f>
        <v>7281</v>
      </c>
      <c r="X4">
        <f>IF($X$5=0,0,$X$5)</f>
        <v>0</v>
      </c>
      <c r="Y4" s="11"/>
      <c r="Z4" s="11"/>
      <c r="AF4">
        <f>DATA!$M$23</f>
        <v>10000</v>
      </c>
      <c r="AG4">
        <f>DATA!M24</f>
        <v>3000</v>
      </c>
      <c r="AH4">
        <f>DATA!M25</f>
        <v>120</v>
      </c>
      <c r="AI4">
        <f>DATA!M27</f>
        <v>0</v>
      </c>
      <c r="AJ4">
        <f>DATA!M28</f>
        <v>0</v>
      </c>
      <c r="AL4">
        <f>DATA!GC38</f>
        <v>0</v>
      </c>
      <c r="AP4">
        <f>DATA!M26</f>
        <v>0</v>
      </c>
      <c r="AY4" s="23" t="str">
        <f t="shared" ref="AY4" si="0">IFERROR(INDEX($M$7:$M$24,MATCH(AZ4,$K$7:$K$24,0),1),"")</f>
        <v/>
      </c>
      <c r="AZ4" s="23" t="s">
        <v>619</v>
      </c>
      <c r="BA4" s="23">
        <f t="shared" ref="BA4" si="1">IFERROR(IF(MATCH(AZ4,$BD$1:$BD$2,0)&gt;=1,2,1),1)</f>
        <v>1</v>
      </c>
    </row>
    <row r="5" spans="1:87" ht="15" customHeight="1" x14ac:dyDescent="0.25">
      <c r="G5" s="419">
        <f>MAX(DATA!CM18,DATE(DATA!CH2,3,1))</f>
        <v>45717</v>
      </c>
      <c r="T5">
        <f>DATA!$M$8</f>
        <v>0</v>
      </c>
      <c r="U5">
        <f>DATA!M9</f>
        <v>0</v>
      </c>
      <c r="V5">
        <f>DATA!M10</f>
        <v>0</v>
      </c>
      <c r="X5">
        <f>DATA!O12</f>
        <v>0</v>
      </c>
      <c r="Y5" s="11"/>
      <c r="Z5" s="11"/>
      <c r="AF5">
        <f>IF(ISERROR(AF1),0,IF(DATA!N23="",AF4,DATA!N23))</f>
        <v>10000</v>
      </c>
      <c r="AG5">
        <f>IF(DATA!N24="",AG4,DATA!N24)</f>
        <v>3000</v>
      </c>
      <c r="AH5">
        <f>IF(DATA!N25="",AH4,DATA!N25)</f>
        <v>120</v>
      </c>
      <c r="AI5">
        <f>IF(DATA!N27="",AI4,DATA!N27)</f>
        <v>0</v>
      </c>
      <c r="AJ5">
        <f>IF(DATA!N28="",AJ4,DATA!N28)</f>
        <v>0</v>
      </c>
      <c r="AL5">
        <f>IFERROR(DATA!GC39,0)</f>
        <v>0</v>
      </c>
      <c r="AP5">
        <f>IF(DATA!N26="",AP4,DATA!N26)</f>
        <v>0</v>
      </c>
      <c r="BO5" s="4">
        <v>45108</v>
      </c>
      <c r="BV5" t="str">
        <f>DATA!CH8</f>
        <v>HPL's</v>
      </c>
    </row>
    <row r="6" spans="1:87" ht="23.65" customHeight="1" x14ac:dyDescent="0.25">
      <c r="B6" t="s">
        <v>116</v>
      </c>
      <c r="G6" s="1" t="s">
        <v>14</v>
      </c>
      <c r="H6" s="1" t="s">
        <v>81</v>
      </c>
      <c r="I6" s="1" t="s">
        <v>584</v>
      </c>
      <c r="J6" s="1"/>
      <c r="K6" s="1" t="s">
        <v>96</v>
      </c>
      <c r="L6" t="s">
        <v>593</v>
      </c>
      <c r="M6" s="1" t="s">
        <v>97</v>
      </c>
      <c r="N6" s="1" t="s">
        <v>103</v>
      </c>
      <c r="O6" s="1" t="s">
        <v>98</v>
      </c>
      <c r="P6" s="1" t="s">
        <v>101</v>
      </c>
      <c r="Q6" s="152" t="s">
        <v>99</v>
      </c>
      <c r="R6" s="1" t="s">
        <v>102</v>
      </c>
      <c r="S6" s="152" t="s">
        <v>67</v>
      </c>
      <c r="T6" s="152" t="str">
        <f>DATA!K8</f>
        <v>Addl Incre</v>
      </c>
      <c r="U6" s="152" t="str">
        <f>DATA!K9</f>
        <v>FPI+PP</v>
      </c>
      <c r="V6" s="152" t="str">
        <f>DATA!K10</f>
        <v>Spl.Pay</v>
      </c>
      <c r="W6" s="152" t="s">
        <v>79</v>
      </c>
      <c r="X6" s="386" t="str">
        <f>DATA!N12</f>
        <v>Your PHC Allowance</v>
      </c>
      <c r="Y6" s="402" t="str">
        <f>DATA!K19</f>
        <v>Reader Allowance</v>
      </c>
      <c r="Z6" s="402" t="str">
        <f>DATA!K20</f>
        <v>Uniform Allowance</v>
      </c>
      <c r="AA6" s="152" t="str">
        <f>DATA!K16</f>
        <v>CCA</v>
      </c>
      <c r="AB6" s="152" t="str">
        <f>DATA!K17</f>
        <v>SCA</v>
      </c>
      <c r="AC6" s="401" t="str">
        <f>DATA!K18</f>
        <v>AHRA</v>
      </c>
      <c r="AD6" s="401" t="str">
        <f>DATA!K21</f>
        <v>Others</v>
      </c>
      <c r="AE6" s="403" t="s">
        <v>105</v>
      </c>
      <c r="AF6" s="404" t="str">
        <f>DATA!M7</f>
        <v>CPS</v>
      </c>
      <c r="AG6" s="405" t="str">
        <f>DATA!L24</f>
        <v>APGLI</v>
      </c>
      <c r="AH6" s="404" t="str">
        <f>DATA!K25</f>
        <v>GIS</v>
      </c>
      <c r="AI6" s="404" t="str">
        <f>DATA!K27</f>
        <v>EHS</v>
      </c>
      <c r="AJ6" s="532" t="str">
        <f>DATA!K28</f>
        <v>Other Deduction</v>
      </c>
      <c r="AK6" s="406" t="str">
        <f>'Statement(edit)'!X4</f>
        <v>EWF+SWF+G.F</v>
      </c>
      <c r="AL6" s="405" t="s">
        <v>106</v>
      </c>
      <c r="AM6" s="405" t="s">
        <v>636</v>
      </c>
      <c r="AN6" s="405" t="s">
        <v>112</v>
      </c>
      <c r="AO6" s="405" t="s">
        <v>628</v>
      </c>
      <c r="AP6" s="405" t="str">
        <f>DATA!K26</f>
        <v>LIC</v>
      </c>
      <c r="AT6" t="s">
        <v>624</v>
      </c>
      <c r="AV6" s="334" t="s">
        <v>79</v>
      </c>
      <c r="AW6" s="1" t="s">
        <v>79</v>
      </c>
      <c r="AX6" s="398" t="s">
        <v>765</v>
      </c>
      <c r="AY6" s="398"/>
      <c r="AZ6" s="398" t="s">
        <v>645</v>
      </c>
      <c r="BA6" s="398" t="s">
        <v>67</v>
      </c>
      <c r="BF6" s="8" t="str">
        <f>AA6</f>
        <v>CCA</v>
      </c>
      <c r="BG6" s="8" t="str">
        <f>AB6</f>
        <v>SCA</v>
      </c>
      <c r="BH6" s="8" t="str">
        <f>AC6</f>
        <v>AHRA</v>
      </c>
      <c r="BI6" s="8" t="str">
        <f>DATA!K15</f>
        <v>HRA</v>
      </c>
      <c r="BJ6" s="409" t="str">
        <f>DATA!K19</f>
        <v>Reader Allowance</v>
      </c>
      <c r="BK6" s="409" t="str">
        <f>DATA!K20</f>
        <v>Uniform Allowance</v>
      </c>
      <c r="BL6" s="409" t="str">
        <f>DATA!K21</f>
        <v>Others</v>
      </c>
      <c r="BN6" s="22" t="s">
        <v>1117</v>
      </c>
      <c r="BO6" t="s">
        <v>764</v>
      </c>
      <c r="BV6" t="s">
        <v>768</v>
      </c>
    </row>
    <row r="7" spans="1:87" x14ac:dyDescent="0.25">
      <c r="A7" s="1">
        <f>IF(G7="","",E7)</f>
        <v>1</v>
      </c>
      <c r="B7" s="26">
        <f>IFERROR(SMALL($A$7:$A$35,E7),"")</f>
        <v>1</v>
      </c>
      <c r="D7">
        <f>IF(OR(LEFT($K7,3)=$N$2,$K7=$N$3,$K7=$N$4,$G7=""),1,2)</f>
        <v>2</v>
      </c>
      <c r="E7">
        <v>1</v>
      </c>
      <c r="F7">
        <f>INDEX(DATA!$CN$4:$CN$55,MATCH($G$5,DATA!$DK$4:$DK$55,0),1)</f>
        <v>1</v>
      </c>
      <c r="G7" s="5">
        <f>IFERROR(INDEX(DATA!$DY$4:$DY$55,Table!F7,1),"")</f>
        <v>45717</v>
      </c>
      <c r="H7" s="5">
        <f>IFERROR(INDEX(DATA!$DL$4:$DL$55,Table!F7,1),"")</f>
        <v>45747</v>
      </c>
      <c r="I7" s="5" t="str">
        <f>IFERROR(TEXT(DAY(G7),"DD")&amp;" to "&amp;TEXT(H7,"DD/MMM/YYYY")&amp;"","")</f>
        <v>01 to 31/Mar/2025</v>
      </c>
      <c r="J7" s="8" t="str">
        <f>IFERROR(INDEX(DATA!$ED$4:$ED$55,Table!F7,1),"")</f>
        <v>HPL's</v>
      </c>
      <c r="K7" s="1" t="str">
        <f>IFERROR(INDEX(DATA!$DJ$4:$DJ$55,Table!F7,1),"")</f>
        <v/>
      </c>
      <c r="L7" s="1">
        <f>IFERROR(INDEX(DATA!$EG$4:$EG$55,Table!F7,1),"")</f>
        <v>31</v>
      </c>
      <c r="M7" s="1">
        <f ca="1">IFERROR(INDEX(DATA!$EH$4:$EH$55,Table!F7,1),"")</f>
        <v>31</v>
      </c>
      <c r="N7" s="1">
        <f>IFERROR(IF(G7="","",INDEX(DATA!$DT$4:$DT$55,Table!F7,1)),"")</f>
        <v>72810</v>
      </c>
      <c r="O7" s="1">
        <f ca="1">IFERROR(INDEX(DATA!$EF$4:$EF$55,Table!F7,1),0)</f>
        <v>72810</v>
      </c>
      <c r="P7" s="1">
        <f>IFERROR(VLOOKUP(G7,DATA!$FY$3:$FZ$7,2),"")</f>
        <v>33.67</v>
      </c>
      <c r="Q7" s="1">
        <f ca="1">IFERROR(ROUND(O7*P7%,0),0)</f>
        <v>24515</v>
      </c>
      <c r="R7" s="1">
        <f t="shared" ref="R7:R24" si="2">IF(G7="","",BI7)</f>
        <v>10</v>
      </c>
      <c r="S7" s="1">
        <f ca="1">IFERROR(MIN(BN7,ROUND(O7*R7%,0))+IF(AY7&lt;=180,BA7),0)</f>
        <v>7281</v>
      </c>
      <c r="T7" s="1">
        <f ca="1">IFERROR(IF($D7=1,0,ROUND(T$5*$M7/$L7,0)),0)</f>
        <v>0</v>
      </c>
      <c r="U7" s="1">
        <f ca="1">IFERROR(IF($D7=1,0,ROUND(U$5*$M7/$L7,0)),0)</f>
        <v>0</v>
      </c>
      <c r="V7" s="1">
        <f ca="1">IFERROR(IF($D7=1,0,ROUND(V$5*$M7/$L7,0)),0)</f>
        <v>0</v>
      </c>
      <c r="W7" s="1">
        <f ca="1">IFERROR(IF(OR(LEFT($K7,3)=$N$2,$G7=""),0,ROUND(AW7,0)),0)</f>
        <v>0</v>
      </c>
      <c r="X7" s="1">
        <f ca="1">IFERROR(IF($D7=1,0,ROUND(IF(G7&lt;$X$1,X$5*$M7/$L7,X$4*$M7/$L7),0)),0)</f>
        <v>0</v>
      </c>
      <c r="Y7" s="1">
        <f t="shared" ref="Y7:Y24" si="3">IF($D7=1,0,IF($BJ7=0,0,ROUND($BJ7*$M7/$L7,0)))</f>
        <v>0</v>
      </c>
      <c r="Z7" s="1">
        <f>IF($D7=1,0,IF(BK7=0,0,ROUND(BK7*$M7/$L7,0)))</f>
        <v>0</v>
      </c>
      <c r="AA7" s="1">
        <f ca="1">IFERROR(IF($D7=1,0,ROUND(SUM(BW7+SUM(BF7*$M7/$L7)),0)),0)</f>
        <v>0</v>
      </c>
      <c r="AB7" s="1">
        <f>IF($D7=1,0,IF(BG7=0,0,ROUND(BG7*$M7/$L7,0)))</f>
        <v>0</v>
      </c>
      <c r="AC7" s="1">
        <f ca="1">IFERROR(IF($D7=1,0,IF(BH7="",0,ROUND(BH7*$M7/$L7,0))),0)</f>
        <v>0</v>
      </c>
      <c r="AD7" s="1">
        <f t="shared" ref="AD7:AD24" si="4">IF($D7=1,0,IF($BL7=0,0,ROUND($BL7*$M7/$L7,0)))</f>
        <v>0</v>
      </c>
      <c r="AE7" s="1">
        <f t="shared" ref="AE7:AE24" ca="1" si="5">IFERROR(O7+Q7+AW7+SUM(S7:AC7),0)</f>
        <v>104606</v>
      </c>
      <c r="AF7" s="1">
        <f ca="1">IFERROR(IF(AND(NOT(AF$6="CPS"),CA7=1,CD7=""),0,IF(AND(AF$6="CPS",NOT(LEFT(K7,3)=$N$2)),ROUND((O7+Q7)*10%,0),IF(OR($D7=1,BC7=1),0,IF(G7&lt;$AF$1,$AF$4,$AF$5)))),0)</f>
        <v>9733</v>
      </c>
      <c r="AG7" s="1">
        <f>IF(AND(CA7=1,CD7=""),0,IF(OR($D7=1,BC7=1),0,IF(G7&lt;AG$1,AG$4,AG$5)))</f>
        <v>3000</v>
      </c>
      <c r="AH7" s="1">
        <f>IF(AND(CA7=1,CD7=""),0,IF(OR($D7=1,BC7=1),0,IF($G7&lt;AH$1,AH$4,AH$5)))</f>
        <v>120</v>
      </c>
      <c r="AI7" s="1">
        <f>IF(AND(CA7=1,CD7=""),0,IF(OR($D7=1,$BC7=1),0,IF($G7&lt;AI$1,AI$4,AI$5)))</f>
        <v>0</v>
      </c>
      <c r="AJ7" s="1">
        <f>IF(AND(CA7=1,CD7=""),0,IF(OR($D7=1,$BC7=1),0,IF($G7&lt;AJ$1,AJ$4,AJ$5)))</f>
        <v>0</v>
      </c>
      <c r="AK7" s="1">
        <f>IF(OR($D7=1,BC7=1),0,AL7+AM7+AT7)</f>
        <v>20</v>
      </c>
      <c r="AL7" s="1">
        <f>IF(OR($D7=1,BC7=1),0,IF($G7=DATA!$GA$38,DATA!$GC$38,IF($G7=DATA!$GA$39,DATA!$GC$39,0)))</f>
        <v>0</v>
      </c>
      <c r="AM7" s="1">
        <f>IF(OR($D7=1,BC7=1),0,IF($G7=DATA!$GA$40,DATA!$GC$40,IF($G7=DATA!$GA$41,DATA!$GC$41,0)))</f>
        <v>20</v>
      </c>
      <c r="AN7" s="1">
        <f ca="1">IF(AND(CA7=1,CD7=""),0,IF(OR($D7=1,BC7=1),0,IF($X$5&lt;&gt;0,0,LOOKUP(AE7,{0,5000,6000,10000,15000,20000},{0,60,80,100,150,200}))))</f>
        <v>200</v>
      </c>
      <c r="AO7" s="1">
        <f>IFERROR(IF(AND(CA7=1,CD7=""),0,IF(OR($D7=1,BC7=1),0,INDEX(DATA!$CE$11:$CE$22,MATCH(TRUNC(Table!G7,0),DATA!$CD$11:$CD$22,0),1))),0)</f>
        <v>0</v>
      </c>
      <c r="AP7" s="1">
        <f t="shared" ref="AP7:AP24" si="6">IF(OR($D7=1,BC7=1),0,IF(G7&lt;AP$1,AP$4,AP$5))</f>
        <v>0</v>
      </c>
      <c r="AT7">
        <f>IF(OR($D7=1,BC7=1),0,IF($G7=DATA!$GA$42,DATA!$GC$42,0))</f>
        <v>0</v>
      </c>
      <c r="AV7">
        <f>IFERROR(VLOOKUP(G7,DATA!$FZ$46:$GA$50,2),"")</f>
        <v>0</v>
      </c>
      <c r="AW7" s="1">
        <f ca="1">IFERROR(IF(LEFT(K7,3)=$N$2,0,IF(G7&gt;=DATA!$FZ$46,ROUND(Table!O7*AV7%,0),0)),0)</f>
        <v>0</v>
      </c>
      <c r="AX7" s="398">
        <f>ROUND(BV7/2,1)</f>
        <v>0</v>
      </c>
      <c r="AY7" s="398">
        <f>IF(AX7&gt;0,AX7*2,0)</f>
        <v>0</v>
      </c>
      <c r="AZ7" s="398">
        <f>IFERROR(ROUND(SUM(N7*AX7/$L7),0),0)</f>
        <v>0</v>
      </c>
      <c r="BA7" s="398">
        <f>IFERROR(ROUND(AZ7*R7%,0),0)</f>
        <v>0</v>
      </c>
      <c r="BC7" s="23" t="str">
        <f t="shared" ref="BC7:BC24" si="7">IFERROR(INDEX($BA$1:$BA$4,MATCH($K7,$AZ$1:$AZ$4,0),1),"")</f>
        <v/>
      </c>
      <c r="BF7" s="8">
        <f>IFERROR(INDEX(DATA!$FZ$11:$GB$14,MATCH(Table!N7,DATA!$FY$11:$FY$14,1),INDEX(DATA!$GA$26:$GA$29,MATCH(G7,DATA!$FY$26:$FY$29,1),1)),0)</f>
        <v>0</v>
      </c>
      <c r="BG7" s="8">
        <f>IF(G7&lt;$BO$5,IFERROR(INDEX($BP$8:$BR$13,MATCH(Table!N7,$BO$8:$BO$13,1),INDEX(DATA!$GC$26:$GC$29,MATCH(G7,DATA!$FY$26:$FY$29,1),1)),0),IFERROR(INDEX(DATA!$FZ$18:$GB$23,MATCH(Table!N7,DATA!$FY$18:$FY$23,1),INDEX(DATA!$GC$26:$GC$29,MATCH(G7,DATA!$FY$26:$FY$29,1),1)),0))</f>
        <v>0</v>
      </c>
      <c r="BH7" s="425">
        <f>IFERROR(MIN(ROUND(N7*INDEX(DATA!$GB$26:$GB$29,MATCH(Table!G7,DATA!$FY$26:$FY$29,1),1),0)*1/100,2000),0)</f>
        <v>0</v>
      </c>
      <c r="BI7" s="409">
        <f>IFERROR(LOOKUP(Table!G7,DATA!$FY$26:$FY$29,DATA!$FZ$26:$FZ$29),0)</f>
        <v>10</v>
      </c>
      <c r="BJ7" s="409">
        <f>IFERROR(LOOKUP(Table!G7,DATA!$FY$26:$FY$29,DATA!$GD$26:$GD$29),0)</f>
        <v>0</v>
      </c>
      <c r="BK7" s="409">
        <f>IFERROR(LOOKUP(Table!G7,DATA!$FY$26:$FY$29,DATA!$GE$26:$GE$29),0)</f>
        <v>0</v>
      </c>
      <c r="BL7">
        <f>IFERROR(LOOKUP(Table!G7,DATA!$FY$26:$FY$29,DATA!$GF$26:$GF$29),0)</f>
        <v>0</v>
      </c>
      <c r="BN7">
        <f>IFERROR(INDEX(DATA!$CT$31:$CT$35,MATCH(R7,DATA!$CS$31:$CS$35,0),1),0)</f>
        <v>11000</v>
      </c>
      <c r="BO7" s="1" t="s">
        <v>486</v>
      </c>
      <c r="BP7" s="1" t="s">
        <v>87</v>
      </c>
      <c r="BQ7" s="1" t="s">
        <v>88</v>
      </c>
      <c r="BR7" s="1" t="s">
        <v>89</v>
      </c>
      <c r="BV7" s="8">
        <f>SUMIFS(DATA!$BM$4:$BM4,DATA!$BK$4:$BK4,$BV$5,DATA!$BL$4:$BL4,Table!G7)</f>
        <v>0</v>
      </c>
      <c r="BW7" s="8">
        <f>IF(AND(AY7&lt;=180,BV7&gt;0),SUM(BF7/L7*BV7)/2,0)</f>
        <v>0</v>
      </c>
      <c r="BY7" s="11"/>
      <c r="BZ7" s="11"/>
      <c r="CA7" s="11">
        <f>IFERROR(IF(AND(G7&gt;=$CB$1,G7&lt;=$CC$1),1,2),2)</f>
        <v>2</v>
      </c>
      <c r="CB7" s="11" t="str">
        <f>IF(CA7=1,M7,"")</f>
        <v/>
      </c>
      <c r="CC7" s="11" t="str">
        <f>IF(CA7=1,IF(OR(LEFT(K7,3)=$N$2,LEFT(K7,3)=$N$3,LEFT(K7,3)=$N$4),"",M7),"")</f>
        <v/>
      </c>
      <c r="CD7" s="23" t="str">
        <f>IF(CF7=2,"",CE7)</f>
        <v/>
      </c>
      <c r="CE7" s="1" t="str">
        <f>IFERROR(CI7,"")</f>
        <v/>
      </c>
      <c r="CF7">
        <f>IFERROR(COUNTIF($CE$7:$CE7,"&gt;="&amp;CE7),0)</f>
        <v>0</v>
      </c>
      <c r="CH7" s="1" t="e">
        <f>_xlfn.AGGREGATE(14,6,$CC$7:$CC$24/($CA$7:$CA$24=1),CA7)=CC7</f>
        <v>#NUM!</v>
      </c>
      <c r="CI7" s="1" t="str">
        <f>IFERROR(IF(CH7=TRUE,CC7,""),"")</f>
        <v/>
      </c>
    </row>
    <row r="8" spans="1:87" x14ac:dyDescent="0.25">
      <c r="A8" s="1">
        <f t="shared" ref="A8:A25" si="8">IF(G8="","",E8)</f>
        <v>2</v>
      </c>
      <c r="B8" s="26">
        <f t="shared" ref="B8:B35" si="9">IFERROR(SMALL($A$7:$A$35,E8),"")</f>
        <v>2</v>
      </c>
      <c r="D8">
        <f t="shared" ref="D8:D25" si="10">IF(OR(LEFT($K8,3)=$N$2,$K8=$N$3,$K8=$N$4,$G8=""),1,2)</f>
        <v>2</v>
      </c>
      <c r="E8">
        <v>2</v>
      </c>
      <c r="F8">
        <f>F7+1</f>
        <v>2</v>
      </c>
      <c r="G8" s="5">
        <f>IFERROR(INDEX(DATA!$DY$4:$DY$55,Table!F8,1),"")</f>
        <v>45748</v>
      </c>
      <c r="H8" s="5">
        <f>IFERROR(INDEX(DATA!$DL$4:$DL$55,Table!F8,1),"")</f>
        <v>45777</v>
      </c>
      <c r="I8" s="5" t="str">
        <f t="shared" ref="I8:I24" si="11">IFERROR(TEXT(DAY(G8),"DD")&amp;" to "&amp;TEXT(H8,"DD/MMM/YYYY")&amp;"","")</f>
        <v>01 to 30/Apr/2025</v>
      </c>
      <c r="J8" s="8">
        <f>IFERROR(INDEX(DATA!$ED$4:$ED$55,Table!F8,1),"")</f>
        <v>0</v>
      </c>
      <c r="K8" s="1" t="str">
        <f>IFERROR(INDEX(DATA!$DJ$4:$DJ$55,Table!F8,1),"")</f>
        <v/>
      </c>
      <c r="L8" s="1">
        <f>IFERROR(INDEX(DATA!$EG$4:$EG$55,Table!F8,1),"")</f>
        <v>30</v>
      </c>
      <c r="M8" s="1">
        <f>IFERROR(INDEX(DATA!$EH$4:$EH$55,Table!F8,1),"")</f>
        <v>30</v>
      </c>
      <c r="N8" s="1">
        <f>IFERROR(IF(G8="","",INDEX(DATA!$DT$4:$DT$55,Table!F8,1)),"")</f>
        <v>72810</v>
      </c>
      <c r="O8" s="1">
        <f>IFERROR(INDEX(DATA!$EF$4:$EF$55,Table!F8,1),0)</f>
        <v>72810</v>
      </c>
      <c r="P8" s="1">
        <f>IFERROR(VLOOKUP(G8,DATA!$FY$3:$FZ$7,2),"")</f>
        <v>33.67</v>
      </c>
      <c r="Q8" s="1">
        <f t="shared" ref="Q8:Q24" si="12">IFERROR(ROUND(O8*P8%,0),0)</f>
        <v>24515</v>
      </c>
      <c r="R8" s="1">
        <f t="shared" si="2"/>
        <v>10</v>
      </c>
      <c r="S8" s="1">
        <f t="shared" ref="S8:S24" si="13">IFERROR(MIN(BN8,ROUND(O8*R8%,0))+IF(AY8&lt;=180,BA8),0)</f>
        <v>7281</v>
      </c>
      <c r="T8" s="1">
        <f t="shared" ref="T8:V24" si="14">IFERROR(IF($D8=1,0,ROUND(T$5*$M8/$L8,0)),0)</f>
        <v>0</v>
      </c>
      <c r="U8" s="1">
        <f t="shared" si="14"/>
        <v>0</v>
      </c>
      <c r="V8" s="1">
        <f t="shared" si="14"/>
        <v>0</v>
      </c>
      <c r="W8" s="1">
        <f t="shared" ref="W8:W24" si="15">IFERROR(IF(OR(LEFT($K8,3)=$N$2,$G8=""),0,ROUND(AW8,0)),0)</f>
        <v>0</v>
      </c>
      <c r="X8" s="1">
        <f t="shared" ref="X8:X24" si="16">IFERROR(IF($D8=1,0,ROUND(IF(G8&lt;$X$1,X$5*$M8/$L8,X$4*$M8/$L8),0)),0)</f>
        <v>0</v>
      </c>
      <c r="Y8" s="1">
        <f t="shared" si="3"/>
        <v>0</v>
      </c>
      <c r="Z8" s="1">
        <f t="shared" ref="Z8:Z24" si="17">IF($D8=1,0,IF(BK8=0,0,ROUND(BK8*$M8/$L8,0)))</f>
        <v>0</v>
      </c>
      <c r="AA8" s="1">
        <f t="shared" ref="AA8:AA24" si="18">IFERROR(IF($D8=1,0,ROUND(SUM(BW8+SUM(BF8*$M8/$L8)),0)),0)</f>
        <v>0</v>
      </c>
      <c r="AB8" s="1">
        <f t="shared" ref="AB8:AB24" si="19">IF($D8=1,0,IF(BG8=0,0,ROUND(BG8*$M8/$L8,0)))</f>
        <v>0</v>
      </c>
      <c r="AC8" s="1">
        <f t="shared" ref="AC8:AC24" si="20">IFERROR(IF($D8=1,0,IF(BH8="",0,ROUND(BH8*$M8/$L8,0))),0)</f>
        <v>0</v>
      </c>
      <c r="AD8" s="1">
        <f t="shared" si="4"/>
        <v>0</v>
      </c>
      <c r="AE8" s="1">
        <f t="shared" si="5"/>
        <v>104606</v>
      </c>
      <c r="AF8" s="1">
        <f t="shared" ref="AF8:AF24" si="21">IFERROR(IF(AND(NOT(AF$6="CPS"),CA8=1,CD8=""),0,IF(AND(AF$6="CPS",NOT(LEFT(K8,3)=$N$2)),ROUND((O8+Q8)*10%,0),IF(OR($D8=1,BC8=1),0,IF(G8&lt;$AF$1,$AF$4,$AF$5)))),0)</f>
        <v>9733</v>
      </c>
      <c r="AG8" s="1">
        <f t="shared" ref="AG8:AG24" si="22">IF(AND(CA8=1,CD8=""),0,IF(OR($D8=1,BC8=1),0,IF(G8&lt;AG$1,AG$4,AG$5)))</f>
        <v>3000</v>
      </c>
      <c r="AH8" s="1">
        <f t="shared" ref="AH8:AH24" si="23">IF(AND(CA8=1,CD8=""),0,IF(OR($D8=1,BC8=1),0,IF($G8&lt;AH$1,AH$4,AH$5)))</f>
        <v>120</v>
      </c>
      <c r="AI8" s="1">
        <f t="shared" ref="AI8:AI24" si="24">IF(AND(CA8=1,CD8=""),0,IF(OR($D8=1,$BC8=1),0,IF($G8&lt;AI$1,AI$4,AI$5)))</f>
        <v>0</v>
      </c>
      <c r="AJ8" s="1">
        <f t="shared" ref="AJ8:AJ24" si="25">IF(AND(CA8=1,CD8=""),0,IF(OR($D8=1,$BC8=1),0,IF($G8&lt;AJ$1,AJ$4,AJ$5)))</f>
        <v>0</v>
      </c>
      <c r="AK8" s="1">
        <f t="shared" ref="AK8:AK24" si="26">IF(OR($D8=1,BC8=1),0,AL8+AM8+AT8)</f>
        <v>0</v>
      </c>
      <c r="AL8" s="1">
        <f>IF(OR($D8=1,BC8=1),0,IF($G8=DATA!$GA$38,DATA!$GC$38,IF($G8=DATA!$GA$39,DATA!$GC$39,0)))</f>
        <v>0</v>
      </c>
      <c r="AM8" s="1">
        <f>IF(OR($D8=1,BC8=1),0,IF($G8=DATA!$GA$40,DATA!$GC$40,IF($G8=DATA!$GA$41,DATA!$GC$41,0)))</f>
        <v>0</v>
      </c>
      <c r="AN8" s="1">
        <f>IF(AND(CA8=1,CD8=""),0,IF(OR($D8=1,BC8=1),0,IF($X$5&lt;&gt;0,0,LOOKUP(AE8,{0,5000,6000,10000,15000,20000},{0,60,80,100,150,200}))))</f>
        <v>200</v>
      </c>
      <c r="AO8" s="1">
        <f>IFERROR(IF(AND(CA8=1,CD8=""),0,IF(OR($D8=1,BC8=1),0,INDEX(DATA!$CE$11:$CE$22,MATCH(TRUNC(Table!G8,0),DATA!$CD$11:$CD$22,0),1))),0)</f>
        <v>0</v>
      </c>
      <c r="AP8" s="1">
        <f t="shared" si="6"/>
        <v>0</v>
      </c>
      <c r="AT8">
        <f>IF(OR($D8=1,BC8=1),0,IF($G8=DATA!$GA$42,DATA!$GC$42,0))</f>
        <v>0</v>
      </c>
      <c r="AV8">
        <f>IFERROR(VLOOKUP(G8,DATA!$FZ$46:$GA$50,2),"")</f>
        <v>0</v>
      </c>
      <c r="AW8" s="1">
        <f>IFERROR(IF(LEFT(K8,3)=$N$2,0,IF(G8&gt;=DATA!$FZ$46,ROUND(Table!O8*AV8%,0),0)),0)</f>
        <v>0</v>
      </c>
      <c r="AX8" s="398">
        <f t="shared" ref="AX8:AX24" si="27">ROUND(BV8/2,1)</f>
        <v>0</v>
      </c>
      <c r="AY8" s="398">
        <f>IF(OR(LEFT(K8,3)=$N$2,AX8=0),0,SUM(AY7+AX8*2))</f>
        <v>0</v>
      </c>
      <c r="AZ8" s="398">
        <f>IFERROR(ROUND(SUM(N8*AX8/$L8),0),0)</f>
        <v>0</v>
      </c>
      <c r="BA8" s="398">
        <f t="shared" ref="BA8:BA24" si="28">IFERROR(ROUND(AZ8*R8%,0),0)</f>
        <v>0</v>
      </c>
      <c r="BC8" s="23" t="str">
        <f t="shared" si="7"/>
        <v/>
      </c>
      <c r="BF8" s="8">
        <f>IFERROR(INDEX(DATA!$FZ$11:$GB$14,MATCH(Table!N8,DATA!$FY$11:$FY$14,1),INDEX(DATA!$GA$26:$GA$29,MATCH(G8,DATA!$FY$26:$FY$29,1),1)),0)</f>
        <v>0</v>
      </c>
      <c r="BG8" s="8">
        <f>IF(G8&lt;$BO$5,IFERROR(INDEX($BP$8:$BR$13,MATCH(Table!N8,$BO$8:$BO$13,1),INDEX(DATA!$GC$26:$GC$29,MATCH(G8,DATA!$FY$26:$FY$29,1),1)),0),IFERROR(INDEX(DATA!$FZ$18:$GB$23,MATCH(Table!N8,DATA!$FY$18:$FY$23,1),INDEX(DATA!$GC$26:$GC$29,MATCH(G8,DATA!$FY$26:$FY$29,1),1)),0))</f>
        <v>0</v>
      </c>
      <c r="BH8" s="425">
        <f>IFERROR(MIN(ROUND(N8*INDEX(DATA!$GB$26:$GB$29,MATCH(Table!G8,DATA!$FY$26:$FY$29,1),1),0)*1/100,2000),0)</f>
        <v>0</v>
      </c>
      <c r="BI8" s="409">
        <f>IFERROR(LOOKUP(Table!G8,DATA!$FY$26:$FY$29,DATA!$FZ$26:$FZ$29),0)</f>
        <v>10</v>
      </c>
      <c r="BJ8" s="409">
        <f>IFERROR(LOOKUP(Table!G8,DATA!$FY$26:$FY$29,DATA!$GD$26:$GD$29),0)</f>
        <v>0</v>
      </c>
      <c r="BK8" s="409">
        <f>IFERROR(LOOKUP(Table!G8,DATA!$FY$26:$FY$29,DATA!$GE$26:$GE$29),0)</f>
        <v>0</v>
      </c>
      <c r="BL8">
        <f>IFERROR(LOOKUP(Table!G8,DATA!$FY$26:$FY$29,DATA!$GF$26:$GF$29),0)</f>
        <v>0</v>
      </c>
      <c r="BN8">
        <f>IFERROR(INDEX(DATA!$CT$31:$CT$35,MATCH(R8,DATA!$CS$31:$CS$35,0),1),0)</f>
        <v>11000</v>
      </c>
      <c r="BO8" s="628">
        <v>0</v>
      </c>
      <c r="BP8" s="628">
        <v>500</v>
      </c>
      <c r="BQ8" s="628">
        <v>485</v>
      </c>
      <c r="BR8" s="628">
        <v>710</v>
      </c>
      <c r="BV8" s="8">
        <f>SUMIFS(DATA!$BM$4:$BM5,DATA!$BK$4:$BK5,$BV$5,DATA!$BL$4:$BL5,Table!G8)</f>
        <v>0</v>
      </c>
      <c r="BW8" s="8">
        <f t="shared" ref="BW8:BW24" si="29">IF(AND(AY8&lt;=180,BV8&gt;0),SUM(BF8/L8*BV8)/2,0)</f>
        <v>0</v>
      </c>
      <c r="BY8" s="11"/>
      <c r="BZ8" s="11"/>
      <c r="CA8" s="11">
        <f t="shared" ref="CA8:CA24" si="30">IFERROR(IF(AND(G8&gt;=$CB$1,G8&lt;=$CC$1),1,2),2)</f>
        <v>2</v>
      </c>
      <c r="CB8" s="11" t="str">
        <f t="shared" ref="CB8:CB24" si="31">IF(CA8=1,M8,"")</f>
        <v/>
      </c>
      <c r="CC8" s="11" t="str">
        <f t="shared" ref="CC8:CC24" si="32">IF(CA8=1,IF(OR(LEFT(K8,3)=$N$2,LEFT(K8,3)=$N$3,LEFT(K8,3)=$N$4),"",M8),"")</f>
        <v/>
      </c>
      <c r="CD8" s="23" t="str">
        <f t="shared" ref="CD8:CD24" si="33">IF(CF8=2,"",CE8)</f>
        <v/>
      </c>
      <c r="CE8" s="1" t="str">
        <f t="shared" ref="CE8:CE24" si="34">IFERROR(CI8,"")</f>
        <v/>
      </c>
      <c r="CF8">
        <f>IFERROR(COUNTIF($CE$7:$CE8,"&gt;="&amp;CE8),0)</f>
        <v>0</v>
      </c>
      <c r="CH8" s="1" t="e">
        <f t="shared" ref="CH8:CH24" si="35">_xlfn.AGGREGATE(14,6,$CC$7:$CC$24/($CA$7:$CA$24=1),CA8)=CC8</f>
        <v>#NUM!</v>
      </c>
      <c r="CI8" s="1" t="str">
        <f t="shared" ref="CI8:CI24" si="36">IFERROR(IF(CH8=TRUE,CC8,""),"")</f>
        <v/>
      </c>
    </row>
    <row r="9" spans="1:87" x14ac:dyDescent="0.25">
      <c r="A9" s="1">
        <f t="shared" si="8"/>
        <v>3</v>
      </c>
      <c r="B9" s="26">
        <f t="shared" si="9"/>
        <v>3</v>
      </c>
      <c r="D9">
        <f t="shared" si="10"/>
        <v>2</v>
      </c>
      <c r="E9">
        <v>3</v>
      </c>
      <c r="F9">
        <f t="shared" ref="F9:F26" si="37">F8+1</f>
        <v>3</v>
      </c>
      <c r="G9" s="5">
        <f>IFERROR(INDEX(DATA!$DY$4:$DY$55,Table!F9,1),"")</f>
        <v>45778</v>
      </c>
      <c r="H9" s="5">
        <f>IFERROR(INDEX(DATA!$DL$4:$DL$55,Table!F9,1),"")</f>
        <v>45808</v>
      </c>
      <c r="I9" s="5" t="str">
        <f t="shared" si="11"/>
        <v>01 to 31/May/2025</v>
      </c>
      <c r="J9" s="8">
        <f>IFERROR(INDEX(DATA!$ED$4:$ED$55,Table!F9,1),"")</f>
        <v>0</v>
      </c>
      <c r="K9" s="1" t="str">
        <f>IFERROR(INDEX(DATA!$DJ$4:$DJ$55,Table!F9,1),"")</f>
        <v>AGI</v>
      </c>
      <c r="L9" s="1">
        <f>IFERROR(INDEX(DATA!$EG$4:$EG$55,Table!F9,1),"")</f>
        <v>31</v>
      </c>
      <c r="M9" s="1">
        <f>IFERROR(INDEX(DATA!$EH$4:$EH$55,Table!F9,1),"")</f>
        <v>31</v>
      </c>
      <c r="N9" s="1">
        <f>IFERROR(IF(G9="","",INDEX(DATA!$DT$4:$DT$55,Table!F9,1)),"")</f>
        <v>74770</v>
      </c>
      <c r="O9" s="1">
        <f>IFERROR(INDEX(DATA!$EF$4:$EF$55,Table!F9,1),0)</f>
        <v>74770</v>
      </c>
      <c r="P9" s="1">
        <f>IFERROR(VLOOKUP(G9,DATA!$FY$3:$FZ$7,2),"")</f>
        <v>33.67</v>
      </c>
      <c r="Q9" s="1">
        <f t="shared" si="12"/>
        <v>25175</v>
      </c>
      <c r="R9" s="1">
        <f t="shared" si="2"/>
        <v>10</v>
      </c>
      <c r="S9" s="1">
        <f t="shared" si="13"/>
        <v>7477</v>
      </c>
      <c r="T9" s="1">
        <f t="shared" si="14"/>
        <v>0</v>
      </c>
      <c r="U9" s="1">
        <f t="shared" si="14"/>
        <v>0</v>
      </c>
      <c r="V9" s="1">
        <f t="shared" si="14"/>
        <v>0</v>
      </c>
      <c r="W9" s="1">
        <f t="shared" si="15"/>
        <v>0</v>
      </c>
      <c r="X9" s="1">
        <f t="shared" si="16"/>
        <v>0</v>
      </c>
      <c r="Y9" s="1">
        <f t="shared" si="3"/>
        <v>0</v>
      </c>
      <c r="Z9" s="1">
        <f t="shared" si="17"/>
        <v>0</v>
      </c>
      <c r="AA9" s="1">
        <f t="shared" si="18"/>
        <v>0</v>
      </c>
      <c r="AB9" s="1">
        <f t="shared" si="19"/>
        <v>0</v>
      </c>
      <c r="AC9" s="1">
        <f t="shared" si="20"/>
        <v>0</v>
      </c>
      <c r="AD9" s="1">
        <f t="shared" si="4"/>
        <v>0</v>
      </c>
      <c r="AE9" s="1">
        <f t="shared" si="5"/>
        <v>107422</v>
      </c>
      <c r="AF9" s="1">
        <f t="shared" si="21"/>
        <v>9995</v>
      </c>
      <c r="AG9" s="1">
        <f t="shared" si="22"/>
        <v>3000</v>
      </c>
      <c r="AH9" s="1">
        <f t="shared" si="23"/>
        <v>120</v>
      </c>
      <c r="AI9" s="1">
        <f t="shared" si="24"/>
        <v>0</v>
      </c>
      <c r="AJ9" s="1">
        <f t="shared" si="25"/>
        <v>0</v>
      </c>
      <c r="AK9" s="1">
        <f t="shared" si="26"/>
        <v>0</v>
      </c>
      <c r="AL9" s="1">
        <f>IF(OR($D9=1,BC9=1),0,IF($G9=DATA!$GA$38,DATA!$GC$38,IF($G9=DATA!$GA$39,DATA!$GC$39,0)))</f>
        <v>0</v>
      </c>
      <c r="AM9" s="1">
        <f>IF(OR($D9=1,BC9=1),0,IF($G9=DATA!$GA$40,DATA!$GC$40,IF($G9=DATA!$GA$41,DATA!$GC$41,0)))</f>
        <v>0</v>
      </c>
      <c r="AN9" s="1">
        <f>IF(AND(CA9=1,CD9=""),0,IF(OR($D9=1,BC9=1),0,IF($X$5&lt;&gt;0,0,LOOKUP(AE9,{0,5000,6000,10000,15000,20000},{0,60,80,100,150,200}))))</f>
        <v>200</v>
      </c>
      <c r="AO9" s="1">
        <f>IFERROR(IF(AND(CA9=1,CD9=""),0,IF(OR($D9=1,BC9=1),0,INDEX(DATA!$CE$11:$CE$22,MATCH(TRUNC(Table!G9,0),DATA!$CD$11:$CD$22,0),1))),0)</f>
        <v>0</v>
      </c>
      <c r="AP9" s="1">
        <f t="shared" si="6"/>
        <v>0</v>
      </c>
      <c r="AT9">
        <f>IF(OR($D9=1,BC9=1),0,IF($G9=DATA!$GA$42,DATA!$GC$42,0))</f>
        <v>0</v>
      </c>
      <c r="AV9">
        <f>IFERROR(VLOOKUP(G9,DATA!$FZ$46:$GA$50,2),"")</f>
        <v>0</v>
      </c>
      <c r="AW9" s="1">
        <f>IFERROR(IF(LEFT(K9,3)=$N$2,0,IF(G9&gt;=DATA!$FZ$46,ROUND(Table!O9*AV9%,0),0)),0)</f>
        <v>0</v>
      </c>
      <c r="AX9" s="398">
        <f t="shared" si="27"/>
        <v>0</v>
      </c>
      <c r="AY9" s="398">
        <f t="shared" ref="AY9:AY24" si="38">IF(OR(LEFT(K9,3)=$N$2,AX9=0),0,SUM(AY8+AX9*2))</f>
        <v>0</v>
      </c>
      <c r="AZ9" s="398">
        <f t="shared" ref="AZ9:AZ24" si="39">IFERROR(ROUND(SUM(N9*AX9/$L9),0),0)</f>
        <v>0</v>
      </c>
      <c r="BA9" s="398">
        <f t="shared" si="28"/>
        <v>0</v>
      </c>
      <c r="BC9" s="23" t="str">
        <f>IFERROR(INDEX($BA$1:$BA$4,MATCH($K9,$AZ$1:$AZ$4,0),1),"")</f>
        <v/>
      </c>
      <c r="BF9" s="8">
        <f>IFERROR(INDEX(DATA!$FZ$11:$GB$14,MATCH(Table!N9,DATA!$FY$11:$FY$14,1),INDEX(DATA!$GA$26:$GA$29,MATCH(G9,DATA!$FY$26:$FY$29,1),1)),0)</f>
        <v>0</v>
      </c>
      <c r="BG9" s="8">
        <f>IF(G9&lt;$BO$5,IFERROR(INDEX($BP$8:$BR$13,MATCH(Table!N9,$BO$8:$BO$13,1),INDEX(DATA!$GC$26:$GC$29,MATCH(G9,DATA!$FY$26:$FY$29,1),1)),0),IFERROR(INDEX(DATA!$FZ$18:$GB$23,MATCH(Table!N9,DATA!$FY$18:$FY$23,1),INDEX(DATA!$GC$26:$GC$29,MATCH(G9,DATA!$FY$26:$FY$29,1),1)),0))</f>
        <v>0</v>
      </c>
      <c r="BH9" s="425">
        <f>IFERROR(MIN(ROUND(N9*INDEX(DATA!$GB$26:$GB$29,MATCH(Table!G9,DATA!$FY$26:$FY$29,1),1),0)*1/100,2000),0)</f>
        <v>0</v>
      </c>
      <c r="BI9" s="409">
        <f>IFERROR(LOOKUP(Table!G9,DATA!$FY$26:$FY$29,DATA!$FZ$26:$FZ$29),0)</f>
        <v>10</v>
      </c>
      <c r="BJ9" s="409">
        <f>IFERROR(LOOKUP(Table!G9,DATA!$FY$26:$FY$29,DATA!$GD$26:$GD$29),0)</f>
        <v>0</v>
      </c>
      <c r="BK9" s="409">
        <f>IFERROR(LOOKUP(Table!G9,DATA!$FY$26:$FY$29,DATA!$GE$26:$GE$29),0)</f>
        <v>0</v>
      </c>
      <c r="BL9">
        <f>IFERROR(LOOKUP(Table!G9,DATA!$FY$26:$FY$29,DATA!$GF$26:$GF$29),0)</f>
        <v>0</v>
      </c>
      <c r="BN9">
        <f>IFERROR(INDEX(DATA!$CT$31:$CT$35,MATCH(R9,DATA!$CS$31:$CS$35,0),1),0)</f>
        <v>11000</v>
      </c>
      <c r="BO9" s="628">
        <v>20051</v>
      </c>
      <c r="BP9" s="628">
        <v>600</v>
      </c>
      <c r="BQ9" s="628">
        <v>600</v>
      </c>
      <c r="BR9" s="628">
        <v>825</v>
      </c>
      <c r="BT9" s="24"/>
      <c r="BU9" s="24"/>
      <c r="BV9" s="8">
        <f>SUMIFS(DATA!$BM$4:$BM6,DATA!$BK$4:$BK6,$BV$5,DATA!$BL$4:$BL6,Table!G9)</f>
        <v>0</v>
      </c>
      <c r="BW9" s="8">
        <f t="shared" si="29"/>
        <v>0</v>
      </c>
      <c r="BY9" s="11"/>
      <c r="BZ9" s="11"/>
      <c r="CA9" s="11">
        <f t="shared" si="30"/>
        <v>2</v>
      </c>
      <c r="CB9" s="11" t="str">
        <f t="shared" si="31"/>
        <v/>
      </c>
      <c r="CC9" s="11" t="str">
        <f t="shared" si="32"/>
        <v/>
      </c>
      <c r="CD9" s="23" t="str">
        <f t="shared" si="33"/>
        <v/>
      </c>
      <c r="CE9" s="1" t="str">
        <f t="shared" si="34"/>
        <v/>
      </c>
      <c r="CF9">
        <f>IFERROR(COUNTIF($CE$7:$CE9,"&gt;="&amp;CE9),0)</f>
        <v>0</v>
      </c>
      <c r="CH9" s="1" t="e">
        <f t="shared" si="35"/>
        <v>#NUM!</v>
      </c>
      <c r="CI9" s="1" t="str">
        <f t="shared" si="36"/>
        <v/>
      </c>
    </row>
    <row r="10" spans="1:87" x14ac:dyDescent="0.25">
      <c r="A10" s="1">
        <f t="shared" si="8"/>
        <v>4</v>
      </c>
      <c r="B10" s="26">
        <f t="shared" si="9"/>
        <v>4</v>
      </c>
      <c r="D10">
        <f t="shared" si="10"/>
        <v>2</v>
      </c>
      <c r="E10">
        <v>4</v>
      </c>
      <c r="F10">
        <f t="shared" si="37"/>
        <v>4</v>
      </c>
      <c r="G10" s="5">
        <f>IFERROR(INDEX(DATA!$DY$4:$DY$55,Table!F10,1),"")</f>
        <v>45809</v>
      </c>
      <c r="H10" s="5">
        <f>IFERROR(INDEX(DATA!$DL$4:$DL$55,Table!F10,1),"")</f>
        <v>45838</v>
      </c>
      <c r="I10" s="5" t="str">
        <f t="shared" si="11"/>
        <v>01 to 30/Jun/2025</v>
      </c>
      <c r="J10" s="8">
        <f>IFERROR(INDEX(DATA!$ED$4:$ED$55,Table!F10,1),"")</f>
        <v>0</v>
      </c>
      <c r="K10" s="1" t="str">
        <f>IFERROR(INDEX(DATA!$DJ$4:$DJ$55,Table!F10,1),"")</f>
        <v/>
      </c>
      <c r="L10" s="1">
        <f>IFERROR(INDEX(DATA!$EG$4:$EG$55,Table!F10,1),"")</f>
        <v>30</v>
      </c>
      <c r="M10" s="1">
        <f>IFERROR(INDEX(DATA!$EH$4:$EH$55,Table!F10,1),"")</f>
        <v>30</v>
      </c>
      <c r="N10" s="1">
        <f>IFERROR(IF(G10="","",INDEX(DATA!$DT$4:$DT$55,Table!F10,1)),"")</f>
        <v>74770</v>
      </c>
      <c r="O10" s="1">
        <f>IFERROR(INDEX(DATA!$EF$4:$EF$55,Table!F10,1),0)</f>
        <v>74770</v>
      </c>
      <c r="P10" s="1">
        <f>IFERROR(VLOOKUP(G10,DATA!$FY$3:$FZ$7,2),"")</f>
        <v>33.67</v>
      </c>
      <c r="Q10" s="1">
        <f t="shared" si="12"/>
        <v>25175</v>
      </c>
      <c r="R10" s="1">
        <f t="shared" si="2"/>
        <v>10</v>
      </c>
      <c r="S10" s="1">
        <f t="shared" si="13"/>
        <v>7477</v>
      </c>
      <c r="T10" s="1">
        <f t="shared" si="14"/>
        <v>0</v>
      </c>
      <c r="U10" s="1">
        <f t="shared" si="14"/>
        <v>0</v>
      </c>
      <c r="V10" s="1">
        <f t="shared" si="14"/>
        <v>0</v>
      </c>
      <c r="W10" s="1">
        <f t="shared" si="15"/>
        <v>0</v>
      </c>
      <c r="X10" s="1">
        <f t="shared" si="16"/>
        <v>0</v>
      </c>
      <c r="Y10" s="1">
        <f t="shared" si="3"/>
        <v>0</v>
      </c>
      <c r="Z10" s="1">
        <f t="shared" si="17"/>
        <v>0</v>
      </c>
      <c r="AA10" s="1">
        <f t="shared" si="18"/>
        <v>0</v>
      </c>
      <c r="AB10" s="1">
        <f t="shared" si="19"/>
        <v>0</v>
      </c>
      <c r="AC10" s="1">
        <f t="shared" si="20"/>
        <v>0</v>
      </c>
      <c r="AD10" s="1">
        <f t="shared" si="4"/>
        <v>0</v>
      </c>
      <c r="AE10" s="1">
        <f t="shared" si="5"/>
        <v>107422</v>
      </c>
      <c r="AF10" s="1">
        <f t="shared" si="21"/>
        <v>9995</v>
      </c>
      <c r="AG10" s="1">
        <f t="shared" si="22"/>
        <v>3000</v>
      </c>
      <c r="AH10" s="1">
        <f t="shared" si="23"/>
        <v>120</v>
      </c>
      <c r="AI10" s="1">
        <f t="shared" si="24"/>
        <v>0</v>
      </c>
      <c r="AJ10" s="1">
        <f t="shared" si="25"/>
        <v>0</v>
      </c>
      <c r="AK10" s="1">
        <f t="shared" si="26"/>
        <v>0</v>
      </c>
      <c r="AL10" s="1">
        <f>IF(OR($D10=1,BC10=1),0,IF($G10=DATA!$GA$38,DATA!$GC$38,IF($G10=DATA!$GA$39,DATA!$GC$39,0)))</f>
        <v>0</v>
      </c>
      <c r="AM10" s="1">
        <f>IF(OR($D10=1,BC10=1),0,IF($G10=DATA!$GA$40,DATA!$GC$40,IF($G10=DATA!$GA$41,DATA!$GC$41,0)))</f>
        <v>0</v>
      </c>
      <c r="AN10" s="1">
        <f>IF(AND(CA10=1,CD10=""),0,IF(OR($D10=1,BC10=1),0,IF($X$5&lt;&gt;0,0,LOOKUP(AE10,{0,5000,6000,10000,15000,20000},{0,60,80,100,150,200}))))</f>
        <v>200</v>
      </c>
      <c r="AO10" s="1">
        <f>IFERROR(IF(AND(CA10=1,CD10=""),0,IF(OR($D10=1,BC10=1),0,INDEX(DATA!$CE$11:$CE$22,MATCH(TRUNC(Table!G10,0),DATA!$CD$11:$CD$22,0),1))),0)</f>
        <v>0</v>
      </c>
      <c r="AP10" s="1">
        <f t="shared" si="6"/>
        <v>0</v>
      </c>
      <c r="AT10">
        <f>IF(OR($D10=1,BC10=1),0,IF($G10=DATA!$GA$42,DATA!$GC$42,0))</f>
        <v>0</v>
      </c>
      <c r="AV10">
        <f>IFERROR(VLOOKUP(G10,DATA!$FZ$46:$GA$50,2),"")</f>
        <v>0</v>
      </c>
      <c r="AW10" s="1">
        <f>IFERROR(IF(LEFT(K10,3)=$N$2,0,IF(G10&gt;=DATA!$FZ$46,ROUND(Table!O10*AV10%,0),0)),0)</f>
        <v>0</v>
      </c>
      <c r="AX10" s="398">
        <f t="shared" si="27"/>
        <v>0</v>
      </c>
      <c r="AY10" s="398">
        <f t="shared" si="38"/>
        <v>0</v>
      </c>
      <c r="AZ10" s="398">
        <f>IFERROR(ROUND(SUM(N10*AX10/$L10),0),0)</f>
        <v>0</v>
      </c>
      <c r="BA10" s="398">
        <f>IFERROR(ROUND(AZ10*R10%,0),0)</f>
        <v>0</v>
      </c>
      <c r="BC10" s="23" t="str">
        <f>IFERROR(INDEX($BA$1:$BA$4,MATCH($K10,$AZ$1:$AZ$4,0),1),"")</f>
        <v/>
      </c>
      <c r="BF10" s="8">
        <f>IFERROR(INDEX(DATA!$FZ$11:$GB$14,MATCH(Table!N10,DATA!$FY$11:$FY$14,1),INDEX(DATA!$GA$26:$GA$29,MATCH(G10,DATA!$FY$26:$FY$29,1),1)),0)</f>
        <v>0</v>
      </c>
      <c r="BG10" s="8">
        <f>IF(G10&lt;$BO$5,IFERROR(INDEX($BP$8:$BR$13,MATCH(Table!N10,$BO$8:$BO$13,1),INDEX(DATA!$GC$26:$GC$29,MATCH(G10,DATA!$FY$26:$FY$29,1),1)),0),IFERROR(INDEX(DATA!$FZ$18:$GB$23,MATCH(Table!N10,DATA!$FY$18:$FY$23,1),INDEX(DATA!$GC$26:$GC$29,MATCH(G10,DATA!$FY$26:$FY$29,1),1)),0))</f>
        <v>0</v>
      </c>
      <c r="BH10" s="425">
        <f>IFERROR(MIN(ROUND(N10*INDEX(DATA!$GB$26:$GB$29,MATCH(Table!G10,DATA!$FY$26:$FY$29,1),1),0)*1/100,2000),0)</f>
        <v>0</v>
      </c>
      <c r="BI10" s="409">
        <f>IFERROR(LOOKUP(Table!G10,DATA!$FY$26:$FY$29,DATA!$FZ$26:$FZ$29),0)</f>
        <v>10</v>
      </c>
      <c r="BJ10" s="409">
        <f>IFERROR(LOOKUP(Table!G10,DATA!$FY$26:$FY$29,DATA!$GD$26:$GD$29),0)</f>
        <v>0</v>
      </c>
      <c r="BK10" s="409">
        <f>IFERROR(LOOKUP(Table!G10,DATA!$FY$26:$FY$29,DATA!$GE$26:$GE$29),0)</f>
        <v>0</v>
      </c>
      <c r="BL10">
        <f>IFERROR(LOOKUP(Table!G10,DATA!$FY$26:$FY$29,DATA!$GF$26:$GF$29),0)</f>
        <v>0</v>
      </c>
      <c r="BN10">
        <f>IFERROR(INDEX(DATA!$CT$31:$CT$35,MATCH(R10,DATA!$CS$31:$CS$35,0),1),0)</f>
        <v>11000</v>
      </c>
      <c r="BO10" s="628">
        <v>26601</v>
      </c>
      <c r="BP10" s="628">
        <v>725</v>
      </c>
      <c r="BQ10" s="628">
        <v>710</v>
      </c>
      <c r="BR10" s="628">
        <v>935</v>
      </c>
      <c r="BT10" s="24"/>
      <c r="BU10" s="24"/>
      <c r="BV10" s="8">
        <f>SUMIFS(DATA!$BM$4:$BM7,DATA!$BK$4:$BK7,$BV$5,DATA!$BL$4:$BL7,Table!G10)</f>
        <v>0</v>
      </c>
      <c r="BW10" s="8">
        <f t="shared" si="29"/>
        <v>0</v>
      </c>
      <c r="BY10" s="11"/>
      <c r="BZ10" s="11"/>
      <c r="CA10" s="11">
        <f t="shared" si="30"/>
        <v>2</v>
      </c>
      <c r="CB10" s="11" t="str">
        <f t="shared" si="31"/>
        <v/>
      </c>
      <c r="CC10" s="11" t="str">
        <f t="shared" si="32"/>
        <v/>
      </c>
      <c r="CD10" s="23" t="str">
        <f t="shared" si="33"/>
        <v/>
      </c>
      <c r="CE10" s="1" t="str">
        <f t="shared" si="34"/>
        <v/>
      </c>
      <c r="CF10">
        <f>IFERROR(COUNTIF($CE$7:$CE10,"&gt;="&amp;CE10),0)</f>
        <v>0</v>
      </c>
      <c r="CH10" s="1" t="e">
        <f t="shared" si="35"/>
        <v>#NUM!</v>
      </c>
      <c r="CI10" s="1" t="str">
        <f t="shared" si="36"/>
        <v/>
      </c>
    </row>
    <row r="11" spans="1:87" x14ac:dyDescent="0.25">
      <c r="A11" s="1">
        <f t="shared" si="8"/>
        <v>5</v>
      </c>
      <c r="B11" s="26">
        <f t="shared" si="9"/>
        <v>5</v>
      </c>
      <c r="D11">
        <f t="shared" si="10"/>
        <v>2</v>
      </c>
      <c r="E11">
        <v>5</v>
      </c>
      <c r="F11">
        <f t="shared" si="37"/>
        <v>5</v>
      </c>
      <c r="G11" s="5">
        <f>IFERROR(INDEX(DATA!$DY$4:$DY$55,Table!F11,1),"")</f>
        <v>45839</v>
      </c>
      <c r="H11" s="5">
        <f>IFERROR(INDEX(DATA!$DL$4:$DL$55,Table!F11,1),"")</f>
        <v>45869</v>
      </c>
      <c r="I11" s="5" t="str">
        <f t="shared" si="11"/>
        <v>01 to 31/Jul/2025</v>
      </c>
      <c r="J11" s="8">
        <f>IFERROR(INDEX(DATA!$ED$4:$ED$55,Table!F11,1),"")</f>
        <v>0</v>
      </c>
      <c r="K11" s="1" t="str">
        <f>IFERROR(INDEX(DATA!$DJ$4:$DJ$55,Table!F11,1),"")</f>
        <v/>
      </c>
      <c r="L11" s="1">
        <f>IFERROR(INDEX(DATA!$EG$4:$EG$55,Table!F11,1),"")</f>
        <v>31</v>
      </c>
      <c r="M11" s="1">
        <f>IFERROR(INDEX(DATA!$EH$4:$EH$55,Table!F11,1),"")</f>
        <v>31</v>
      </c>
      <c r="N11" s="1">
        <f>IFERROR(IF(G11="","",INDEX(DATA!$DT$4:$DT$55,Table!F11,1)),"")</f>
        <v>74770</v>
      </c>
      <c r="O11" s="1">
        <f>IFERROR(INDEX(DATA!$EF$4:$EF$55,Table!F11,1),0)</f>
        <v>74770</v>
      </c>
      <c r="P11" s="1">
        <f>IFERROR(VLOOKUP(G11,DATA!$FY$3:$FZ$7,2),"")</f>
        <v>33.67</v>
      </c>
      <c r="Q11" s="1">
        <f t="shared" si="12"/>
        <v>25175</v>
      </c>
      <c r="R11" s="1">
        <f t="shared" si="2"/>
        <v>10</v>
      </c>
      <c r="S11" s="1">
        <f t="shared" si="13"/>
        <v>7477</v>
      </c>
      <c r="T11" s="1">
        <f>IFERROR(IF($D11=1,0,ROUND(T$5*$M11/$L11,0)),0)</f>
        <v>0</v>
      </c>
      <c r="U11" s="1">
        <f t="shared" si="14"/>
        <v>0</v>
      </c>
      <c r="V11" s="1">
        <f t="shared" si="14"/>
        <v>0</v>
      </c>
      <c r="W11" s="1">
        <f t="shared" si="15"/>
        <v>0</v>
      </c>
      <c r="X11" s="1">
        <f>IFERROR(IF($D11=1,0,ROUND(IF(G11&lt;$X$1,X$5*$M11/$L11,X$4*$M11/$L11),0)),0)</f>
        <v>0</v>
      </c>
      <c r="Y11" s="1">
        <f t="shared" si="3"/>
        <v>0</v>
      </c>
      <c r="Z11" s="1">
        <f t="shared" si="17"/>
        <v>0</v>
      </c>
      <c r="AA11" s="1">
        <f t="shared" si="18"/>
        <v>0</v>
      </c>
      <c r="AB11" s="1">
        <f t="shared" si="19"/>
        <v>0</v>
      </c>
      <c r="AC11" s="1">
        <f t="shared" si="20"/>
        <v>0</v>
      </c>
      <c r="AD11" s="1">
        <f t="shared" si="4"/>
        <v>0</v>
      </c>
      <c r="AE11" s="1">
        <f t="shared" si="5"/>
        <v>107422</v>
      </c>
      <c r="AF11" s="1">
        <f t="shared" si="21"/>
        <v>9995</v>
      </c>
      <c r="AG11" s="1">
        <f t="shared" si="22"/>
        <v>3000</v>
      </c>
      <c r="AH11" s="1">
        <f t="shared" si="23"/>
        <v>120</v>
      </c>
      <c r="AI11" s="1">
        <f t="shared" si="24"/>
        <v>0</v>
      </c>
      <c r="AJ11" s="1">
        <f t="shared" si="25"/>
        <v>0</v>
      </c>
      <c r="AK11" s="1">
        <f t="shared" si="26"/>
        <v>0</v>
      </c>
      <c r="AL11" s="1">
        <f>IF(OR($D11=1,BC11=1),0,IF($G11=DATA!$GA$38,DATA!$GC$38,IF($G11=DATA!$GA$39,DATA!$GC$39,0)))</f>
        <v>0</v>
      </c>
      <c r="AM11" s="1">
        <f>IF(OR($D11=1,BC11=1),0,IF($G11=DATA!$GA$40,DATA!$GC$40,IF($G11=DATA!$GA$41,DATA!$GC$41,0)))</f>
        <v>0</v>
      </c>
      <c r="AN11" s="1">
        <f>IF(AND(CA11=1,CD11=""),0,IF(OR($D11=1,BC11=1),0,IF($X$5&lt;&gt;0,0,LOOKUP(AE11,{0,5000,6000,10000,15000,20000},{0,60,80,100,150,200}))))</f>
        <v>200</v>
      </c>
      <c r="AO11" s="1">
        <f>IFERROR(IF(AND(CA11=1,CD11=""),0,IF(OR($D11=1,BC11=1),0,INDEX(DATA!$CE$11:$CE$22,MATCH(TRUNC(Table!G11,0),DATA!$CD$11:$CD$22,0),1))),0)</f>
        <v>0</v>
      </c>
      <c r="AP11" s="1">
        <f t="shared" si="6"/>
        <v>0</v>
      </c>
      <c r="AT11">
        <f>IF(OR($D11=1,BC11=1),0,IF($G11=DATA!$GA$42,DATA!$GC$42,0))</f>
        <v>0</v>
      </c>
      <c r="AV11">
        <f>IFERROR(VLOOKUP(G11,DATA!$FZ$46:$GA$50,2),"")</f>
        <v>0</v>
      </c>
      <c r="AW11" s="1">
        <f>IFERROR(IF(LEFT(K11,3)=$N$2,0,IF(G11&gt;=DATA!$FZ$46,ROUND(Table!O11*AV11%,0),0)),0)</f>
        <v>0</v>
      </c>
      <c r="AX11" s="398">
        <f t="shared" si="27"/>
        <v>0</v>
      </c>
      <c r="AY11" s="398">
        <f t="shared" si="38"/>
        <v>0</v>
      </c>
      <c r="AZ11" s="398">
        <f t="shared" si="39"/>
        <v>0</v>
      </c>
      <c r="BA11" s="398">
        <f>IFERROR(ROUND(AZ11*R11%,0),0)</f>
        <v>0</v>
      </c>
      <c r="BC11" s="23" t="str">
        <f t="shared" si="7"/>
        <v/>
      </c>
      <c r="BF11" s="8">
        <f>IFERROR(INDEX(DATA!$FZ$11:$GB$14,MATCH(Table!N11,DATA!$FY$11:$FY$14,1),INDEX(DATA!$GA$26:$GA$29,MATCH(G11,DATA!$FY$26:$FY$29,1),1)),0)</f>
        <v>0</v>
      </c>
      <c r="BG11" s="8">
        <f>IF(G11&lt;$BO$5,IFERROR(INDEX($BP$8:$BR$13,MATCH(Table!N11,$BO$8:$BO$13,1),INDEX(DATA!$GC$26:$GC$29,MATCH(G11,DATA!$FY$26:$FY$29,1),1)),0),IFERROR(INDEX(DATA!$FZ$18:$GB$23,MATCH(Table!N11,DATA!$FY$18:$FY$23,1),INDEX(DATA!$GC$26:$GC$29,MATCH(G11,DATA!$FY$26:$FY$29,1),1)),0))</f>
        <v>0</v>
      </c>
      <c r="BH11" s="425">
        <f>IFERROR(MIN(ROUND(N11*INDEX(DATA!$GB$26:$GB$29,MATCH(Table!G11,DATA!$FY$26:$FY$29,1),1),0)*1/100,2000),0)</f>
        <v>0</v>
      </c>
      <c r="BI11" s="409">
        <f>IFERROR(LOOKUP(Table!G11,DATA!$FY$26:$FY$29,DATA!$FZ$26:$FZ$29),0)</f>
        <v>10</v>
      </c>
      <c r="BJ11" s="409">
        <f>IFERROR(LOOKUP(Table!G11,DATA!$FY$26:$FY$29,DATA!$GD$26:$GD$29),0)</f>
        <v>0</v>
      </c>
      <c r="BK11" s="409">
        <f>IFERROR(LOOKUP(Table!G11,DATA!$FY$26:$FY$29,DATA!$GE$26:$GE$29),0)</f>
        <v>0</v>
      </c>
      <c r="BL11">
        <f>IFERROR(LOOKUP(Table!G11,DATA!$FY$26:$FY$29,DATA!$GF$26:$GF$29),0)</f>
        <v>0</v>
      </c>
      <c r="BN11">
        <f>IFERROR(INDEX(DATA!$CT$31:$CT$35,MATCH(R11,DATA!$CS$31:$CS$35,0),1),0)</f>
        <v>11000</v>
      </c>
      <c r="BO11" s="628">
        <v>34211</v>
      </c>
      <c r="BP11" s="628">
        <v>875</v>
      </c>
      <c r="BQ11" s="628">
        <v>860</v>
      </c>
      <c r="BR11" s="628">
        <v>1050</v>
      </c>
      <c r="BT11" s="24"/>
      <c r="BU11" s="24"/>
      <c r="BV11" s="8">
        <f>SUMIFS(DATA!$BM$4:$BM8,DATA!$BK$4:$BK8,$BV$5,DATA!$BL$4:$BL8,Table!G11)</f>
        <v>0</v>
      </c>
      <c r="BW11" s="8">
        <f t="shared" si="29"/>
        <v>0</v>
      </c>
      <c r="BY11" s="11"/>
      <c r="BZ11" s="11"/>
      <c r="CA11" s="11">
        <f t="shared" si="30"/>
        <v>2</v>
      </c>
      <c r="CB11" s="11" t="str">
        <f t="shared" si="31"/>
        <v/>
      </c>
      <c r="CC11" s="11" t="str">
        <f t="shared" si="32"/>
        <v/>
      </c>
      <c r="CD11" s="23" t="str">
        <f t="shared" si="33"/>
        <v/>
      </c>
      <c r="CE11" s="1" t="str">
        <f t="shared" si="34"/>
        <v/>
      </c>
      <c r="CF11">
        <f>IFERROR(COUNTIF($CE$7:$CE11,"&gt;="&amp;CE11),0)</f>
        <v>0</v>
      </c>
      <c r="CH11" s="1" t="e">
        <f t="shared" si="35"/>
        <v>#NUM!</v>
      </c>
      <c r="CI11" s="1" t="str">
        <f t="shared" si="36"/>
        <v/>
      </c>
    </row>
    <row r="12" spans="1:87" x14ac:dyDescent="0.25">
      <c r="A12" s="1">
        <f t="shared" si="8"/>
        <v>6</v>
      </c>
      <c r="B12" s="26">
        <f t="shared" si="9"/>
        <v>6</v>
      </c>
      <c r="D12">
        <f>IF(OR(LEFT($K12,3)=$N$2,$K12=$N$3,$K12=$N$4,$G12=""),1,2)</f>
        <v>2</v>
      </c>
      <c r="E12">
        <v>6</v>
      </c>
      <c r="F12">
        <f t="shared" si="37"/>
        <v>6</v>
      </c>
      <c r="G12" s="5">
        <f>IFERROR(INDEX(DATA!$DY$4:$DY$55,Table!F12,1),"")</f>
        <v>45870</v>
      </c>
      <c r="H12" s="5">
        <f>IFERROR(INDEX(DATA!$DL$4:$DL$55,Table!F12,1),"")</f>
        <v>45900</v>
      </c>
      <c r="I12" s="5" t="str">
        <f t="shared" si="11"/>
        <v>01 to 31/Aug/2025</v>
      </c>
      <c r="J12" s="8">
        <f>IFERROR(INDEX(DATA!$ED$4:$ED$55,Table!F12,1),"")</f>
        <v>0</v>
      </c>
      <c r="K12" s="1" t="str">
        <f>IFERROR(INDEX(DATA!$DJ$4:$DJ$55,Table!F12,1),"")</f>
        <v/>
      </c>
      <c r="L12" s="1">
        <f>IFERROR(INDEX(DATA!$EG$4:$EG$55,Table!F12,1),"")</f>
        <v>31</v>
      </c>
      <c r="M12" s="1">
        <f>IFERROR(INDEX(DATA!$EH$4:$EH$55,Table!F12,1),"")</f>
        <v>31</v>
      </c>
      <c r="N12" s="1">
        <f>IFERROR(IF(G12="","",INDEX(DATA!$DT$4:$DT$55,Table!F12,1)),"")</f>
        <v>74770</v>
      </c>
      <c r="O12" s="1">
        <f>IFERROR(INDEX(DATA!$EF$4:$EF$55,Table!F12,1),0)</f>
        <v>74770</v>
      </c>
      <c r="P12" s="1">
        <f>IFERROR(VLOOKUP(G12,DATA!$FY$3:$FZ$7,2),"")</f>
        <v>33.67</v>
      </c>
      <c r="Q12" s="1">
        <f t="shared" si="12"/>
        <v>25175</v>
      </c>
      <c r="R12" s="1">
        <f t="shared" si="2"/>
        <v>10</v>
      </c>
      <c r="S12" s="1">
        <f t="shared" si="13"/>
        <v>7477</v>
      </c>
      <c r="T12" s="1">
        <f t="shared" si="14"/>
        <v>0</v>
      </c>
      <c r="U12" s="1">
        <f t="shared" si="14"/>
        <v>0</v>
      </c>
      <c r="V12" s="1">
        <f t="shared" si="14"/>
        <v>0</v>
      </c>
      <c r="W12" s="1">
        <f t="shared" si="15"/>
        <v>0</v>
      </c>
      <c r="X12" s="1">
        <f t="shared" si="16"/>
        <v>0</v>
      </c>
      <c r="Y12" s="1">
        <f t="shared" si="3"/>
        <v>0</v>
      </c>
      <c r="Z12" s="1">
        <f t="shared" si="17"/>
        <v>0</v>
      </c>
      <c r="AA12" s="1">
        <f t="shared" si="18"/>
        <v>0</v>
      </c>
      <c r="AB12" s="1">
        <f t="shared" si="19"/>
        <v>0</v>
      </c>
      <c r="AC12" s="1">
        <f t="shared" si="20"/>
        <v>0</v>
      </c>
      <c r="AD12" s="1">
        <f t="shared" si="4"/>
        <v>0</v>
      </c>
      <c r="AE12" s="1">
        <f t="shared" si="5"/>
        <v>107422</v>
      </c>
      <c r="AF12" s="1">
        <f t="shared" si="21"/>
        <v>9995</v>
      </c>
      <c r="AG12" s="1">
        <f t="shared" si="22"/>
        <v>3000</v>
      </c>
      <c r="AH12" s="1">
        <f t="shared" si="23"/>
        <v>120</v>
      </c>
      <c r="AI12" s="1">
        <f t="shared" si="24"/>
        <v>0</v>
      </c>
      <c r="AJ12" s="1">
        <f t="shared" si="25"/>
        <v>0</v>
      </c>
      <c r="AK12" s="1">
        <f t="shared" si="26"/>
        <v>0</v>
      </c>
      <c r="AL12" s="1">
        <f>IF(OR($D12=1,BC12=1),0,IF($G12=DATA!$GA$38,DATA!$GC$38,IF($G12=DATA!$GA$39,DATA!$GC$39,0)))</f>
        <v>0</v>
      </c>
      <c r="AM12" s="1">
        <f>IF(OR($D12=1,BC12=1),0,IF($G12=DATA!$GA$40,DATA!$GC$40,IF($G12=DATA!$GA$41,DATA!$GC$41,0)))</f>
        <v>0</v>
      </c>
      <c r="AN12" s="1">
        <f>IF(AND(CA12=1,CD12=""),0,IF(OR($D12=1,BC12=1),0,IF($X$5&lt;&gt;0,0,LOOKUP(AE12,{0,5000,6000,10000,15000,20000},{0,60,80,100,150,200}))))</f>
        <v>200</v>
      </c>
      <c r="AO12" s="1">
        <f>IFERROR(IF(AND(CA12=1,CD12=""),0,IF(OR($D12=1,BC12=1),0,INDEX(DATA!$CE$11:$CE$22,MATCH(TRUNC(Table!G12,0),DATA!$CD$11:$CD$22,0),1))),0)</f>
        <v>0</v>
      </c>
      <c r="AP12" s="1">
        <f t="shared" si="6"/>
        <v>0</v>
      </c>
      <c r="AT12">
        <f>IF(OR($D12=1,BC12=1),0,IF($G12=DATA!$GA$42,DATA!$GC$42,0))</f>
        <v>0</v>
      </c>
      <c r="AV12">
        <f>IFERROR(VLOOKUP(G12,DATA!$FZ$46:$GA$50,2),"")</f>
        <v>0</v>
      </c>
      <c r="AW12" s="1">
        <f>IFERROR(IF(LEFT(K12,3)=$N$2,0,IF(G12&gt;=DATA!$FZ$46,ROUND(Table!O12*AV12%,0),0)),0)</f>
        <v>0</v>
      </c>
      <c r="AX12" s="398">
        <f t="shared" si="27"/>
        <v>0</v>
      </c>
      <c r="AY12" s="398">
        <f t="shared" si="38"/>
        <v>0</v>
      </c>
      <c r="AZ12" s="398">
        <f t="shared" si="39"/>
        <v>0</v>
      </c>
      <c r="BA12" s="398">
        <f t="shared" si="28"/>
        <v>0</v>
      </c>
      <c r="BC12" s="23" t="str">
        <f t="shared" si="7"/>
        <v/>
      </c>
      <c r="BF12" s="8">
        <f>IFERROR(INDEX(DATA!$FZ$11:$GB$14,MATCH(Table!N12,DATA!$FY$11:$FY$14,1),INDEX(DATA!$GA$26:$GA$29,MATCH(G12,DATA!$FY$26:$FY$29,1),1)),0)</f>
        <v>0</v>
      </c>
      <c r="BG12" s="8">
        <f>IF(G12&lt;$BO$5,IFERROR(INDEX($BP$8:$BR$13,MATCH(Table!N12,$BO$8:$BO$13,1),INDEX(DATA!$GC$26:$GC$29,MATCH(G12,DATA!$FY$26:$FY$29,1),1)),0),IFERROR(INDEX(DATA!$FZ$18:$GB$23,MATCH(Table!N12,DATA!$FY$18:$FY$23,1),INDEX(DATA!$GC$26:$GC$29,MATCH(G12,DATA!$FY$26:$FY$29,1),1)),0))</f>
        <v>0</v>
      </c>
      <c r="BH12" s="425">
        <f>IFERROR(MIN(ROUND(N12*INDEX(DATA!$GB$26:$GB$29,MATCH(Table!G12,DATA!$FY$26:$FY$29,1),1),0)*1/100,2000),0)</f>
        <v>0</v>
      </c>
      <c r="BI12" s="409">
        <f>IFERROR(LOOKUP(Table!G12,DATA!$FY$26:$FY$29,DATA!$FZ$26:$FZ$29),0)</f>
        <v>10</v>
      </c>
      <c r="BJ12" s="409">
        <f>IFERROR(LOOKUP(Table!G12,DATA!$FY$26:$FY$29,DATA!$GD$26:$GD$29),0)</f>
        <v>0</v>
      </c>
      <c r="BK12" s="409">
        <f>IFERROR(LOOKUP(Table!G12,DATA!$FY$26:$FY$29,DATA!$GE$26:$GE$29),0)</f>
        <v>0</v>
      </c>
      <c r="BL12">
        <f>IFERROR(LOOKUP(Table!G12,DATA!$FY$26:$FY$29,DATA!$GF$26:$GF$29),0)</f>
        <v>0</v>
      </c>
      <c r="BN12">
        <f>IFERROR(INDEX(DATA!$CT$31:$CT$35,MATCH(R12,DATA!$CS$31:$CS$35,0),1),0)</f>
        <v>11000</v>
      </c>
      <c r="BO12" s="628">
        <v>41381</v>
      </c>
      <c r="BP12" s="628">
        <v>950</v>
      </c>
      <c r="BQ12" s="628">
        <v>935</v>
      </c>
      <c r="BR12" s="628">
        <v>1125</v>
      </c>
      <c r="BT12" s="24"/>
      <c r="BU12" s="24"/>
      <c r="BV12" s="8">
        <f>SUMIFS(DATA!$BM$4:$BM9,DATA!$BK$4:$BK9,$BV$5,DATA!$BL$4:$BL9,Table!G12)</f>
        <v>0</v>
      </c>
      <c r="BW12" s="8">
        <f t="shared" si="29"/>
        <v>0</v>
      </c>
      <c r="BY12" s="11"/>
      <c r="BZ12" s="11"/>
      <c r="CA12" s="11">
        <f t="shared" si="30"/>
        <v>2</v>
      </c>
      <c r="CB12" s="11" t="str">
        <f t="shared" si="31"/>
        <v/>
      </c>
      <c r="CC12" s="11" t="str">
        <f t="shared" si="32"/>
        <v/>
      </c>
      <c r="CD12" s="23" t="str">
        <f t="shared" si="33"/>
        <v/>
      </c>
      <c r="CE12" s="1" t="str">
        <f t="shared" si="34"/>
        <v/>
      </c>
      <c r="CF12">
        <f>IFERROR(COUNTIF($CE$7:$CE12,"&gt;="&amp;CE12),0)</f>
        <v>0</v>
      </c>
      <c r="CH12" s="1" t="e">
        <f t="shared" si="35"/>
        <v>#NUM!</v>
      </c>
      <c r="CI12" s="1" t="str">
        <f t="shared" si="36"/>
        <v/>
      </c>
    </row>
    <row r="13" spans="1:87" x14ac:dyDescent="0.25">
      <c r="A13" s="1">
        <f t="shared" si="8"/>
        <v>7</v>
      </c>
      <c r="B13" s="26">
        <f t="shared" si="9"/>
        <v>7</v>
      </c>
      <c r="D13">
        <f t="shared" si="10"/>
        <v>2</v>
      </c>
      <c r="E13">
        <v>7</v>
      </c>
      <c r="F13">
        <f t="shared" si="37"/>
        <v>7</v>
      </c>
      <c r="G13" s="5">
        <f>IFERROR(INDEX(DATA!$DY$4:$DY$55,Table!F13,1),"")</f>
        <v>45901</v>
      </c>
      <c r="H13" s="5">
        <f>IFERROR(INDEX(DATA!$DL$4:$DL$55,Table!F13,1),"")</f>
        <v>45930</v>
      </c>
      <c r="I13" s="5" t="str">
        <f t="shared" si="11"/>
        <v>01 to 30/Sep/2025</v>
      </c>
      <c r="J13" s="8">
        <f>IFERROR(INDEX(DATA!$ED$4:$ED$55,Table!F13,1),"")</f>
        <v>0</v>
      </c>
      <c r="K13" s="1" t="str">
        <f>IFERROR(INDEX(DATA!$DJ$4:$DJ$55,Table!F13,1),"")</f>
        <v/>
      </c>
      <c r="L13" s="1">
        <f>IFERROR(INDEX(DATA!$EG$4:$EG$55,Table!F13,1),"")</f>
        <v>30</v>
      </c>
      <c r="M13" s="1">
        <f>IFERROR(INDEX(DATA!$EH$4:$EH$55,Table!F13,1),"")</f>
        <v>30</v>
      </c>
      <c r="N13" s="1">
        <f>IFERROR(IF(G13="","",INDEX(DATA!$DT$4:$DT$55,Table!F13,1)),"")</f>
        <v>74770</v>
      </c>
      <c r="O13" s="1">
        <f>IFERROR(INDEX(DATA!$EF$4:$EF$55,Table!F13,1),0)</f>
        <v>74770</v>
      </c>
      <c r="P13" s="1">
        <f>IFERROR(VLOOKUP(G13,DATA!$FY$3:$FZ$7,2),"")</f>
        <v>33.67</v>
      </c>
      <c r="Q13" s="1">
        <f t="shared" si="12"/>
        <v>25175</v>
      </c>
      <c r="R13" s="1">
        <f t="shared" si="2"/>
        <v>10</v>
      </c>
      <c r="S13" s="1">
        <f t="shared" si="13"/>
        <v>7477</v>
      </c>
      <c r="T13" s="1">
        <f t="shared" si="14"/>
        <v>0</v>
      </c>
      <c r="U13" s="1">
        <f t="shared" si="14"/>
        <v>0</v>
      </c>
      <c r="V13" s="1">
        <f t="shared" si="14"/>
        <v>0</v>
      </c>
      <c r="W13" s="1">
        <f t="shared" si="15"/>
        <v>0</v>
      </c>
      <c r="X13" s="1">
        <f t="shared" si="16"/>
        <v>0</v>
      </c>
      <c r="Y13" s="1">
        <f t="shared" si="3"/>
        <v>0</v>
      </c>
      <c r="Z13" s="1">
        <f t="shared" si="17"/>
        <v>0</v>
      </c>
      <c r="AA13" s="1">
        <f t="shared" si="18"/>
        <v>0</v>
      </c>
      <c r="AB13" s="1">
        <f t="shared" si="19"/>
        <v>0</v>
      </c>
      <c r="AC13" s="1">
        <f t="shared" si="20"/>
        <v>0</v>
      </c>
      <c r="AD13" s="1">
        <f t="shared" si="4"/>
        <v>0</v>
      </c>
      <c r="AE13" s="1">
        <f t="shared" si="5"/>
        <v>107422</v>
      </c>
      <c r="AF13" s="1">
        <f t="shared" si="21"/>
        <v>9995</v>
      </c>
      <c r="AG13" s="1">
        <f t="shared" si="22"/>
        <v>3000</v>
      </c>
      <c r="AH13" s="1">
        <f t="shared" si="23"/>
        <v>120</v>
      </c>
      <c r="AI13" s="1">
        <f t="shared" si="24"/>
        <v>0</v>
      </c>
      <c r="AJ13" s="1">
        <f t="shared" si="25"/>
        <v>0</v>
      </c>
      <c r="AK13" s="1">
        <f t="shared" si="26"/>
        <v>0</v>
      </c>
      <c r="AL13" s="1">
        <f>IF(OR($D13=1,BC13=1),0,IF($G13=DATA!$GA$38,DATA!$GC$38,IF($G13=DATA!$GA$39,DATA!$GC$39,0)))</f>
        <v>0</v>
      </c>
      <c r="AM13" s="1">
        <f>IF(OR($D13=1,BC13=1),0,IF($G13=DATA!$GA$40,DATA!$GC$40,IF($G13=DATA!$GA$41,DATA!$GC$41,0)))</f>
        <v>0</v>
      </c>
      <c r="AN13" s="1">
        <f>IF(AND(CA13=1,CD13=""),0,IF(OR($D13=1,BC13=1),0,IF($X$5&lt;&gt;0,0,LOOKUP(AE13,{0,5000,6000,10000,15000,20000},{0,60,80,100,150,200}))))</f>
        <v>200</v>
      </c>
      <c r="AO13" s="1">
        <f>IFERROR(IF(AND(CA13=1,CD13=""),0,IF(OR($D13=1,BC13=1),0,INDEX(DATA!$CE$11:$CE$22,MATCH(TRUNC(Table!G13,0),DATA!$CD$11:$CD$22,0),1))),0)</f>
        <v>0</v>
      </c>
      <c r="AP13" s="1">
        <f t="shared" si="6"/>
        <v>0</v>
      </c>
      <c r="AT13">
        <f>IF(OR($D13=1,BC13=1),0,IF($G13=DATA!$GA$42,DATA!$GC$42,0))</f>
        <v>0</v>
      </c>
      <c r="AV13">
        <f>IFERROR(VLOOKUP(G13,DATA!$FZ$46:$GA$50,2),"")</f>
        <v>0</v>
      </c>
      <c r="AW13" s="1">
        <f>IFERROR(IF(LEFT(K13,3)=$N$2,0,IF(G13&gt;=DATA!$FZ$46,ROUND(Table!O13*AV13%,0),0)),0)</f>
        <v>0</v>
      </c>
      <c r="AX13" s="398">
        <f t="shared" si="27"/>
        <v>0</v>
      </c>
      <c r="AY13" s="398">
        <f t="shared" si="38"/>
        <v>0</v>
      </c>
      <c r="AZ13" s="398">
        <f t="shared" si="39"/>
        <v>0</v>
      </c>
      <c r="BA13" s="398">
        <f t="shared" si="28"/>
        <v>0</v>
      </c>
      <c r="BC13" s="23" t="str">
        <f t="shared" si="7"/>
        <v/>
      </c>
      <c r="BF13" s="8">
        <f>IFERROR(INDEX(DATA!$FZ$11:$GB$14,MATCH(Table!N13,DATA!$FY$11:$FY$14,1),INDEX(DATA!$GA$26:$GA$29,MATCH(G13,DATA!$FY$26:$FY$29,1),1)),0)</f>
        <v>0</v>
      </c>
      <c r="BG13" s="8">
        <f>IF(G13&lt;$BO$5,IFERROR(INDEX($BP$8:$BR$13,MATCH(Table!N13,$BO$8:$BO$13,1),INDEX(DATA!$GC$26:$GC$29,MATCH(G13,DATA!$FY$26:$FY$29,1),1)),0),IFERROR(INDEX(DATA!$FZ$18:$GB$23,MATCH(Table!N13,DATA!$FY$18:$FY$23,1),INDEX(DATA!$GC$26:$GC$29,MATCH(G13,DATA!$FY$26:$FY$29,1),1)),0))</f>
        <v>0</v>
      </c>
      <c r="BH13" s="425">
        <f>IFERROR(MIN(ROUND(N13*INDEX(DATA!$GB$26:$GB$29,MATCH(Table!G13,DATA!$FY$26:$FY$29,1),1),0)*1/100,2000),0)</f>
        <v>0</v>
      </c>
      <c r="BI13" s="409">
        <f>IFERROR(LOOKUP(Table!G13,DATA!$FY$26:$FY$29,DATA!$FZ$26:$FZ$29),0)</f>
        <v>10</v>
      </c>
      <c r="BJ13" s="409">
        <f>IFERROR(LOOKUP(Table!G13,DATA!$FY$26:$FY$29,DATA!$GD$26:$GD$29),0)</f>
        <v>0</v>
      </c>
      <c r="BK13" s="409">
        <f>IFERROR(LOOKUP(Table!G13,DATA!$FY$26:$FY$29,DATA!$GE$26:$GE$29),0)</f>
        <v>0</v>
      </c>
      <c r="BL13">
        <f>IFERROR(LOOKUP(Table!G13,DATA!$FY$26:$FY$29,DATA!$GF$26:$GF$29),0)</f>
        <v>0</v>
      </c>
      <c r="BN13">
        <f>IFERROR(INDEX(DATA!$CT$31:$CT$35,MATCH(R13,DATA!$CS$31:$CS$35,0),1),0)</f>
        <v>11000</v>
      </c>
      <c r="BO13" s="628">
        <v>55411</v>
      </c>
      <c r="BP13" s="628">
        <v>975</v>
      </c>
      <c r="BQ13" s="628">
        <v>1110</v>
      </c>
      <c r="BR13" s="628">
        <v>1275</v>
      </c>
      <c r="BT13" s="24"/>
      <c r="BU13" s="24"/>
      <c r="BV13" s="8">
        <f>SUMIFS(DATA!$BM$4:$BM10,DATA!$BK$4:$BK10,$BV$5,DATA!$BL$4:$BL10,Table!G13)</f>
        <v>0</v>
      </c>
      <c r="BW13" s="8">
        <f t="shared" si="29"/>
        <v>0</v>
      </c>
      <c r="BY13" s="11"/>
      <c r="BZ13" s="11"/>
      <c r="CA13" s="11">
        <f t="shared" si="30"/>
        <v>2</v>
      </c>
      <c r="CB13" s="11" t="str">
        <f t="shared" si="31"/>
        <v/>
      </c>
      <c r="CC13" s="11" t="str">
        <f t="shared" si="32"/>
        <v/>
      </c>
      <c r="CD13" s="23" t="str">
        <f t="shared" si="33"/>
        <v/>
      </c>
      <c r="CE13" s="1" t="str">
        <f t="shared" si="34"/>
        <v/>
      </c>
      <c r="CF13">
        <f>IFERROR(COUNTIF($CE$7:$CE13,"&gt;="&amp;CE13),0)</f>
        <v>0</v>
      </c>
      <c r="CH13" s="1" t="e">
        <f t="shared" si="35"/>
        <v>#NUM!</v>
      </c>
      <c r="CI13" s="1" t="str">
        <f t="shared" si="36"/>
        <v/>
      </c>
    </row>
    <row r="14" spans="1:87" x14ac:dyDescent="0.25">
      <c r="A14" s="1">
        <f t="shared" si="8"/>
        <v>8</v>
      </c>
      <c r="B14" s="26">
        <f t="shared" si="9"/>
        <v>8</v>
      </c>
      <c r="D14">
        <f t="shared" si="10"/>
        <v>2</v>
      </c>
      <c r="E14">
        <v>8</v>
      </c>
      <c r="F14">
        <f t="shared" si="37"/>
        <v>8</v>
      </c>
      <c r="G14" s="5">
        <f>IFERROR(INDEX(DATA!$DY$4:$DY$55,Table!F14,1),"")</f>
        <v>45931</v>
      </c>
      <c r="H14" s="5">
        <f>IFERROR(INDEX(DATA!$DL$4:$DL$55,Table!F14,1),"")</f>
        <v>45961</v>
      </c>
      <c r="I14" s="5" t="str">
        <f t="shared" si="11"/>
        <v>01 to 31/Oct/2025</v>
      </c>
      <c r="J14" s="8">
        <f>IFERROR(INDEX(DATA!$ED$4:$ED$55,Table!F14,1),"")</f>
        <v>0</v>
      </c>
      <c r="K14" s="1" t="str">
        <f>IFERROR(INDEX(DATA!$DJ$4:$DJ$55,Table!F14,1),"")</f>
        <v/>
      </c>
      <c r="L14" s="1">
        <f>IFERROR(INDEX(DATA!$EG$4:$EG$55,Table!F14,1),"")</f>
        <v>31</v>
      </c>
      <c r="M14" s="1">
        <f>IFERROR(INDEX(DATA!$EH$4:$EH$55,Table!F14,1),"")</f>
        <v>31</v>
      </c>
      <c r="N14" s="1">
        <f>IFERROR(IF(G14="","",INDEX(DATA!$DT$4:$DT$55,Table!F14,1)),"")</f>
        <v>74770</v>
      </c>
      <c r="O14" s="1">
        <f>IFERROR(INDEX(DATA!$EF$4:$EF$55,Table!F14,1),0)</f>
        <v>74770</v>
      </c>
      <c r="P14" s="1">
        <f>IFERROR(VLOOKUP(G14,DATA!$FY$3:$FZ$7,2),"")</f>
        <v>37.31</v>
      </c>
      <c r="Q14" s="1">
        <f t="shared" si="12"/>
        <v>27897</v>
      </c>
      <c r="R14" s="1">
        <f t="shared" si="2"/>
        <v>10</v>
      </c>
      <c r="S14" s="1">
        <f t="shared" si="13"/>
        <v>7477</v>
      </c>
      <c r="T14" s="1">
        <f t="shared" si="14"/>
        <v>0</v>
      </c>
      <c r="U14" s="1">
        <f t="shared" si="14"/>
        <v>0</v>
      </c>
      <c r="V14" s="1">
        <f t="shared" si="14"/>
        <v>0</v>
      </c>
      <c r="W14" s="1">
        <f t="shared" si="15"/>
        <v>0</v>
      </c>
      <c r="X14" s="1">
        <f t="shared" si="16"/>
        <v>0</v>
      </c>
      <c r="Y14" s="1">
        <f t="shared" si="3"/>
        <v>0</v>
      </c>
      <c r="Z14" s="1">
        <f t="shared" si="17"/>
        <v>0</v>
      </c>
      <c r="AA14" s="1">
        <f t="shared" si="18"/>
        <v>0</v>
      </c>
      <c r="AB14" s="1">
        <f t="shared" si="19"/>
        <v>0</v>
      </c>
      <c r="AC14" s="1">
        <f t="shared" si="20"/>
        <v>0</v>
      </c>
      <c r="AD14" s="1">
        <f t="shared" si="4"/>
        <v>0</v>
      </c>
      <c r="AE14" s="1">
        <f t="shared" si="5"/>
        <v>110144</v>
      </c>
      <c r="AF14" s="1">
        <f t="shared" si="21"/>
        <v>10267</v>
      </c>
      <c r="AG14" s="1">
        <f t="shared" si="22"/>
        <v>3000</v>
      </c>
      <c r="AH14" s="1">
        <f t="shared" si="23"/>
        <v>120</v>
      </c>
      <c r="AI14" s="1">
        <f t="shared" si="24"/>
        <v>0</v>
      </c>
      <c r="AJ14" s="1">
        <f t="shared" si="25"/>
        <v>0</v>
      </c>
      <c r="AK14" s="1">
        <f t="shared" si="26"/>
        <v>0</v>
      </c>
      <c r="AL14" s="1">
        <f>IF(OR($D14=1,BC14=1),0,IF($G14=DATA!$GA$38,DATA!$GC$38,IF($G14=DATA!$GA$39,DATA!$GC$39,0)))</f>
        <v>0</v>
      </c>
      <c r="AM14" s="1">
        <f>IF(OR($D14=1,BC14=1),0,IF($G14=DATA!$GA$40,DATA!$GC$40,IF($G14=DATA!$GA$41,DATA!$GC$41,0)))</f>
        <v>0</v>
      </c>
      <c r="AN14" s="1">
        <f>IF(AND(CA14=1,CD14=""),0,IF(OR($D14=1,BC14=1),0,IF($X$5&lt;&gt;0,0,LOOKUP(AE14,{0,5000,6000,10000,15000,20000},{0,60,80,100,150,200}))))</f>
        <v>200</v>
      </c>
      <c r="AO14" s="1">
        <f>IFERROR(IF(AND(CA14=1,CD14=""),0,IF(OR($D14=1,BC14=1),0,INDEX(DATA!$CE$11:$CE$22,MATCH(TRUNC(Table!G14,0),DATA!$CD$11:$CD$22,0),1))),0)</f>
        <v>0</v>
      </c>
      <c r="AP14" s="1">
        <f t="shared" si="6"/>
        <v>0</v>
      </c>
      <c r="AT14">
        <f>IF(OR($D14=1,BC14=1),0,IF($G14=DATA!$GA$42,DATA!$GC$42,0))</f>
        <v>0</v>
      </c>
      <c r="AV14">
        <f>IFERROR(VLOOKUP(G14,DATA!$FZ$46:$GA$50,2),"")</f>
        <v>0</v>
      </c>
      <c r="AW14" s="1">
        <f>IFERROR(IF(LEFT(K14,3)=$N$2,0,IF(G14&gt;=DATA!$FZ$46,ROUND(Table!O14*AV14%,0),0)),0)</f>
        <v>0</v>
      </c>
      <c r="AX14" s="398">
        <f t="shared" si="27"/>
        <v>0</v>
      </c>
      <c r="AY14" s="398">
        <f t="shared" si="38"/>
        <v>0</v>
      </c>
      <c r="AZ14" s="398">
        <f t="shared" si="39"/>
        <v>0</v>
      </c>
      <c r="BA14" s="398">
        <f t="shared" si="28"/>
        <v>0</v>
      </c>
      <c r="BC14" s="23" t="str">
        <f t="shared" si="7"/>
        <v/>
      </c>
      <c r="BF14" s="8">
        <f>IFERROR(INDEX(DATA!$FZ$11:$GB$14,MATCH(Table!N14,DATA!$FY$11:$FY$14,1),INDEX(DATA!$GA$26:$GA$29,MATCH(G14,DATA!$FY$26:$FY$29,1),1)),0)</f>
        <v>0</v>
      </c>
      <c r="BG14" s="8">
        <f>IF(G14&lt;$BO$5,IFERROR(INDEX($BP$8:$BR$13,MATCH(Table!N14,$BO$8:$BO$13,1),INDEX(DATA!$GC$26:$GC$29,MATCH(G14,DATA!$FY$26:$FY$29,1),1)),0),IFERROR(INDEX(DATA!$FZ$18:$GB$23,MATCH(Table!N14,DATA!$FY$18:$FY$23,1),INDEX(DATA!$GC$26:$GC$29,MATCH(G14,DATA!$FY$26:$FY$29,1),1)),0))</f>
        <v>0</v>
      </c>
      <c r="BH14" s="425">
        <f>IFERROR(MIN(ROUND(N14*INDEX(DATA!$GB$26:$GB$29,MATCH(Table!G14,DATA!$FY$26:$FY$29,1),1),0)*1/100,2000),0)</f>
        <v>0</v>
      </c>
      <c r="BI14" s="409">
        <f>IFERROR(LOOKUP(Table!G14,DATA!$FY$26:$FY$29,DATA!$FZ$26:$FZ$29),0)</f>
        <v>10</v>
      </c>
      <c r="BJ14" s="409">
        <f>IFERROR(LOOKUP(Table!G14,DATA!$FY$26:$FY$29,DATA!$GD$26:$GD$29),0)</f>
        <v>0</v>
      </c>
      <c r="BK14" s="409">
        <f>IFERROR(LOOKUP(Table!G14,DATA!$FY$26:$FY$29,DATA!$GE$26:$GE$29),0)</f>
        <v>0</v>
      </c>
      <c r="BL14">
        <f>IFERROR(LOOKUP(Table!G14,DATA!$FY$26:$FY$29,DATA!$GF$26:$GF$29),0)</f>
        <v>0</v>
      </c>
      <c r="BN14">
        <f>IFERROR(INDEX(DATA!$CT$31:$CT$35,MATCH(R14,DATA!$CS$31:$CS$35,0),1),0)</f>
        <v>11000</v>
      </c>
      <c r="BO14" s="11"/>
      <c r="BP14" s="11"/>
      <c r="BQ14" s="11"/>
      <c r="BR14" s="11"/>
      <c r="BT14" s="24"/>
      <c r="BU14" s="24"/>
      <c r="BV14" s="8">
        <f>SUMIFS(DATA!$BM$4:$BM11,DATA!$BK$4:$BK11,$BV$5,DATA!$BL$4:$BL11,Table!G14)</f>
        <v>0</v>
      </c>
      <c r="BW14" s="8">
        <f t="shared" si="29"/>
        <v>0</v>
      </c>
      <c r="BY14" s="11"/>
      <c r="BZ14" s="11"/>
      <c r="CA14" s="11">
        <f t="shared" si="30"/>
        <v>2</v>
      </c>
      <c r="CB14" s="11" t="str">
        <f t="shared" si="31"/>
        <v/>
      </c>
      <c r="CC14" s="11" t="str">
        <f t="shared" si="32"/>
        <v/>
      </c>
      <c r="CD14" s="23" t="str">
        <f t="shared" si="33"/>
        <v/>
      </c>
      <c r="CE14" s="1" t="str">
        <f t="shared" si="34"/>
        <v/>
      </c>
      <c r="CF14">
        <f>IFERROR(COUNTIF($CE$7:$CE14,"&gt;="&amp;CE14),0)</f>
        <v>0</v>
      </c>
      <c r="CH14" s="1" t="e">
        <f t="shared" si="35"/>
        <v>#NUM!</v>
      </c>
      <c r="CI14" s="1" t="str">
        <f t="shared" si="36"/>
        <v/>
      </c>
    </row>
    <row r="15" spans="1:87" x14ac:dyDescent="0.25">
      <c r="A15" s="1">
        <f t="shared" si="8"/>
        <v>9</v>
      </c>
      <c r="B15" s="26">
        <f t="shared" si="9"/>
        <v>9</v>
      </c>
      <c r="D15">
        <f t="shared" si="10"/>
        <v>2</v>
      </c>
      <c r="E15">
        <v>9</v>
      </c>
      <c r="F15">
        <f t="shared" si="37"/>
        <v>9</v>
      </c>
      <c r="G15" s="5">
        <f>IFERROR(INDEX(DATA!$DY$4:$DY$55,Table!F15,1),"")</f>
        <v>45962</v>
      </c>
      <c r="H15" s="5">
        <f>IFERROR(INDEX(DATA!$DL$4:$DL$55,Table!F15,1),"")</f>
        <v>45991</v>
      </c>
      <c r="I15" s="5" t="str">
        <f t="shared" si="11"/>
        <v>01 to 30/Nov/2025</v>
      </c>
      <c r="J15" s="8">
        <f>IFERROR(INDEX(DATA!$ED$4:$ED$55,Table!F15,1),"")</f>
        <v>0</v>
      </c>
      <c r="K15" s="1" t="str">
        <f>IFERROR(INDEX(DATA!$DJ$4:$DJ$55,Table!F15,1),"")</f>
        <v/>
      </c>
      <c r="L15" s="1">
        <f>IFERROR(INDEX(DATA!$EG$4:$EG$55,Table!F15,1),"")</f>
        <v>30</v>
      </c>
      <c r="M15" s="1">
        <f>IFERROR(INDEX(DATA!$EH$4:$EH$55,Table!F15,1),"")</f>
        <v>30</v>
      </c>
      <c r="N15" s="1">
        <f>IFERROR(IF(G15="","",INDEX(DATA!$DT$4:$DT$55,Table!F15,1)),"")</f>
        <v>74770</v>
      </c>
      <c r="O15" s="1">
        <f>IFERROR(INDEX(DATA!$EF$4:$EF$55,Table!F15,1),0)</f>
        <v>74770</v>
      </c>
      <c r="P15" s="1">
        <f>IFERROR(VLOOKUP(G15,DATA!$FY$3:$FZ$7,2),"")</f>
        <v>37.31</v>
      </c>
      <c r="Q15" s="1">
        <f t="shared" si="12"/>
        <v>27897</v>
      </c>
      <c r="R15" s="1">
        <f t="shared" si="2"/>
        <v>10</v>
      </c>
      <c r="S15" s="1">
        <f t="shared" si="13"/>
        <v>7477</v>
      </c>
      <c r="T15" s="1">
        <f t="shared" si="14"/>
        <v>0</v>
      </c>
      <c r="U15" s="1">
        <f t="shared" si="14"/>
        <v>0</v>
      </c>
      <c r="V15" s="1">
        <f t="shared" si="14"/>
        <v>0</v>
      </c>
      <c r="W15" s="1">
        <f t="shared" si="15"/>
        <v>0</v>
      </c>
      <c r="X15" s="1">
        <f t="shared" si="16"/>
        <v>0</v>
      </c>
      <c r="Y15" s="1">
        <f t="shared" si="3"/>
        <v>0</v>
      </c>
      <c r="Z15" s="1">
        <f t="shared" si="17"/>
        <v>0</v>
      </c>
      <c r="AA15" s="1">
        <f t="shared" si="18"/>
        <v>0</v>
      </c>
      <c r="AB15" s="1">
        <f t="shared" si="19"/>
        <v>0</v>
      </c>
      <c r="AC15" s="1">
        <f t="shared" si="20"/>
        <v>0</v>
      </c>
      <c r="AD15" s="1">
        <f t="shared" si="4"/>
        <v>0</v>
      </c>
      <c r="AE15" s="1">
        <f t="shared" si="5"/>
        <v>110144</v>
      </c>
      <c r="AF15" s="1">
        <f t="shared" si="21"/>
        <v>10267</v>
      </c>
      <c r="AG15" s="1">
        <f t="shared" si="22"/>
        <v>3000</v>
      </c>
      <c r="AH15" s="1">
        <f t="shared" si="23"/>
        <v>120</v>
      </c>
      <c r="AI15" s="1">
        <f t="shared" si="24"/>
        <v>0</v>
      </c>
      <c r="AJ15" s="1">
        <f t="shared" si="25"/>
        <v>0</v>
      </c>
      <c r="AK15" s="1">
        <f t="shared" si="26"/>
        <v>0</v>
      </c>
      <c r="AL15" s="1">
        <f>IF(OR($D15=1,BC15=1),0,IF($G15=DATA!$GA$38,DATA!$GC$38,IF($G15=DATA!$GA$39,DATA!$GC$39,0)))</f>
        <v>0</v>
      </c>
      <c r="AM15" s="1">
        <f>IF(OR($D15=1,BC15=1),0,IF($G15=DATA!$GA$40,DATA!$GC$40,IF($G15=DATA!$GA$41,DATA!$GC$41,0)))</f>
        <v>0</v>
      </c>
      <c r="AN15" s="1">
        <f>IF(AND(CA15=1,CD15=""),0,IF(OR($D15=1,BC15=1),0,IF($X$5&lt;&gt;0,0,LOOKUP(AE15,{0,5000,6000,10000,15000,20000},{0,60,80,100,150,200}))))</f>
        <v>200</v>
      </c>
      <c r="AO15" s="1">
        <f>IFERROR(IF(AND(CA15=1,CD15=""),0,IF(OR($D15=1,BC15=1),0,INDEX(DATA!$CE$11:$CE$22,MATCH(TRUNC(Table!G15,0),DATA!$CD$11:$CD$22,0),1))),0)</f>
        <v>0</v>
      </c>
      <c r="AP15" s="1">
        <f t="shared" si="6"/>
        <v>0</v>
      </c>
      <c r="AT15">
        <f>IF(OR($D15=1,BC15=1),0,IF($G15=DATA!$GA$42,DATA!$GC$42,0))</f>
        <v>0</v>
      </c>
      <c r="AV15">
        <f>IFERROR(VLOOKUP(G15,DATA!$FZ$46:$GA$50,2),"")</f>
        <v>0</v>
      </c>
      <c r="AW15" s="1">
        <f>IFERROR(IF(LEFT(K15,3)=$N$2,0,IF(G15&gt;=DATA!$FZ$46,ROUND(Table!O15*AV15%,0),0)),0)</f>
        <v>0</v>
      </c>
      <c r="AX15" s="398">
        <f t="shared" si="27"/>
        <v>0</v>
      </c>
      <c r="AY15" s="398">
        <f t="shared" si="38"/>
        <v>0</v>
      </c>
      <c r="AZ15" s="398">
        <f t="shared" si="39"/>
        <v>0</v>
      </c>
      <c r="BA15" s="398">
        <f t="shared" si="28"/>
        <v>0</v>
      </c>
      <c r="BC15" s="23" t="str">
        <f t="shared" si="7"/>
        <v/>
      </c>
      <c r="BF15" s="8">
        <f>IFERROR(INDEX(DATA!$FZ$11:$GB$14,MATCH(Table!N15,DATA!$FY$11:$FY$14,1),INDEX(DATA!$GA$26:$GA$29,MATCH(G15,DATA!$FY$26:$FY$29,1),1)),0)</f>
        <v>0</v>
      </c>
      <c r="BG15" s="8">
        <f>IF(G15&lt;$BO$5,IFERROR(INDEX($BP$8:$BR$13,MATCH(Table!N15,$BO$8:$BO$13,1),INDEX(DATA!$GC$26:$GC$29,MATCH(G15,DATA!$FY$26:$FY$29,1),1)),0),IFERROR(INDEX(DATA!$FZ$18:$GB$23,MATCH(Table!N15,DATA!$FY$18:$FY$23,1),INDEX(DATA!$GC$26:$GC$29,MATCH(G15,DATA!$FY$26:$FY$29,1),1)),0))</f>
        <v>0</v>
      </c>
      <c r="BH15" s="425">
        <f>IFERROR(MIN(ROUND(N15*INDEX(DATA!$GB$26:$GB$29,MATCH(Table!G15,DATA!$FY$26:$FY$29,1),1),0)*1/100,2000),0)</f>
        <v>0</v>
      </c>
      <c r="BI15" s="409">
        <f>IFERROR(LOOKUP(Table!G15,DATA!$FY$26:$FY$29,DATA!$FZ$26:$FZ$29),0)</f>
        <v>10</v>
      </c>
      <c r="BJ15" s="409">
        <f>IFERROR(LOOKUP(Table!G15,DATA!$FY$26:$FY$29,DATA!$GD$26:$GD$29),0)</f>
        <v>0</v>
      </c>
      <c r="BK15" s="409">
        <f>IFERROR(LOOKUP(Table!G15,DATA!$FY$26:$FY$29,DATA!$GE$26:$GE$29),0)</f>
        <v>0</v>
      </c>
      <c r="BL15">
        <f>IFERROR(LOOKUP(Table!G15,DATA!$FY$26:$FY$29,DATA!$GF$26:$GF$29),0)</f>
        <v>0</v>
      </c>
      <c r="BN15">
        <f>IFERROR(INDEX(DATA!$CT$31:$CT$35,MATCH(R15,DATA!$CS$31:$CS$35,0),1),0)</f>
        <v>11000</v>
      </c>
      <c r="BV15" s="8">
        <f>SUMIFS(DATA!$BM$4:$BM12,DATA!$BK$4:$BK12,$BV$5,DATA!$BL$4:$BL12,Table!G15)</f>
        <v>0</v>
      </c>
      <c r="BW15" s="8">
        <f t="shared" si="29"/>
        <v>0</v>
      </c>
      <c r="BY15" s="11"/>
      <c r="BZ15" s="11"/>
      <c r="CA15" s="11">
        <f t="shared" si="30"/>
        <v>2</v>
      </c>
      <c r="CB15" s="11" t="str">
        <f t="shared" si="31"/>
        <v/>
      </c>
      <c r="CC15" s="11" t="str">
        <f t="shared" si="32"/>
        <v/>
      </c>
      <c r="CD15" s="23" t="str">
        <f t="shared" si="33"/>
        <v/>
      </c>
      <c r="CE15" s="1" t="str">
        <f t="shared" si="34"/>
        <v/>
      </c>
      <c r="CF15">
        <f>IFERROR(COUNTIF($CE$7:$CE15,"&gt;="&amp;CE15),0)</f>
        <v>0</v>
      </c>
      <c r="CH15" s="1" t="e">
        <f t="shared" si="35"/>
        <v>#NUM!</v>
      </c>
      <c r="CI15" s="1" t="str">
        <f t="shared" si="36"/>
        <v/>
      </c>
    </row>
    <row r="16" spans="1:87" x14ac:dyDescent="0.25">
      <c r="A16" s="1">
        <f t="shared" si="8"/>
        <v>10</v>
      </c>
      <c r="B16" s="26">
        <f t="shared" si="9"/>
        <v>10</v>
      </c>
      <c r="D16">
        <f t="shared" si="10"/>
        <v>2</v>
      </c>
      <c r="E16">
        <v>10</v>
      </c>
      <c r="F16">
        <f t="shared" si="37"/>
        <v>10</v>
      </c>
      <c r="G16" s="5">
        <f>IFERROR(INDEX(DATA!$DY$4:$DY$55,Table!F16,1),"")</f>
        <v>45992</v>
      </c>
      <c r="H16" s="5">
        <f>IFERROR(INDEX(DATA!$DL$4:$DL$55,Table!F16,1),"")</f>
        <v>46022</v>
      </c>
      <c r="I16" s="5" t="str">
        <f t="shared" si="11"/>
        <v>01 to 31/Dec/2025</v>
      </c>
      <c r="J16" s="8">
        <f>IFERROR(INDEX(DATA!$ED$4:$ED$55,Table!F16,1),"")</f>
        <v>0</v>
      </c>
      <c r="K16" s="1" t="str">
        <f>IFERROR(INDEX(DATA!$DJ$4:$DJ$55,Table!F16,1),"")</f>
        <v/>
      </c>
      <c r="L16" s="1">
        <f>IFERROR(INDEX(DATA!$EG$4:$EG$55,Table!F16,1),"")</f>
        <v>31</v>
      </c>
      <c r="M16" s="1">
        <f>IFERROR(INDEX(DATA!$EH$4:$EH$55,Table!F16,1),"")</f>
        <v>31</v>
      </c>
      <c r="N16" s="1">
        <f>IFERROR(IF(G16="","",INDEX(DATA!$DT$4:$DT$55,Table!F16,1)),"")</f>
        <v>74770</v>
      </c>
      <c r="O16" s="1">
        <f>IFERROR(INDEX(DATA!$EF$4:$EF$55,Table!F16,1),0)</f>
        <v>74770</v>
      </c>
      <c r="P16" s="1">
        <f>IFERROR(VLOOKUP(G16,DATA!$FY$3:$FZ$7,2),"")</f>
        <v>37.31</v>
      </c>
      <c r="Q16" s="1">
        <f t="shared" si="12"/>
        <v>27897</v>
      </c>
      <c r="R16" s="1">
        <f t="shared" si="2"/>
        <v>10</v>
      </c>
      <c r="S16" s="1">
        <f t="shared" si="13"/>
        <v>7477</v>
      </c>
      <c r="T16" s="1">
        <f t="shared" si="14"/>
        <v>0</v>
      </c>
      <c r="U16" s="1">
        <f t="shared" si="14"/>
        <v>0</v>
      </c>
      <c r="V16" s="1">
        <f t="shared" si="14"/>
        <v>0</v>
      </c>
      <c r="W16" s="1">
        <f t="shared" si="15"/>
        <v>0</v>
      </c>
      <c r="X16" s="1">
        <f t="shared" si="16"/>
        <v>0</v>
      </c>
      <c r="Y16" s="1">
        <f t="shared" si="3"/>
        <v>0</v>
      </c>
      <c r="Z16" s="1">
        <f t="shared" si="17"/>
        <v>0</v>
      </c>
      <c r="AA16" s="1">
        <f t="shared" si="18"/>
        <v>0</v>
      </c>
      <c r="AB16" s="1">
        <f t="shared" si="19"/>
        <v>0</v>
      </c>
      <c r="AC16" s="1">
        <f t="shared" si="20"/>
        <v>0</v>
      </c>
      <c r="AD16" s="1">
        <f t="shared" si="4"/>
        <v>0</v>
      </c>
      <c r="AE16" s="1">
        <f t="shared" si="5"/>
        <v>110144</v>
      </c>
      <c r="AF16" s="1">
        <f t="shared" si="21"/>
        <v>10267</v>
      </c>
      <c r="AG16" s="1">
        <f t="shared" si="22"/>
        <v>3000</v>
      </c>
      <c r="AH16" s="1">
        <f t="shared" si="23"/>
        <v>120</v>
      </c>
      <c r="AI16" s="1">
        <f t="shared" si="24"/>
        <v>0</v>
      </c>
      <c r="AJ16" s="1">
        <f t="shared" si="25"/>
        <v>0</v>
      </c>
      <c r="AK16" s="1">
        <f t="shared" si="26"/>
        <v>100</v>
      </c>
      <c r="AL16" s="1">
        <f>IF(OR($D16=1,BC16=1),0,IF($G16=DATA!$GA$38,DATA!$GC$38,IF($G16=DATA!$GA$39,DATA!$GC$39,0)))</f>
        <v>0</v>
      </c>
      <c r="AM16" s="1">
        <f>IF(OR($D16=1,BC16=1),0,IF($G16=DATA!$GA$40,DATA!$GC$40,IF($G16=DATA!$GA$41,DATA!$GC$41,0)))</f>
        <v>100</v>
      </c>
      <c r="AN16" s="1">
        <f>IF(AND(CA16=1,CD16=""),0,IF(OR($D16=1,BC16=1),0,IF($X$5&lt;&gt;0,0,LOOKUP(AE16,{0,5000,6000,10000,15000,20000},{0,60,80,100,150,200}))))</f>
        <v>200</v>
      </c>
      <c r="AO16" s="1">
        <f>IFERROR(IF(AND(CA16=1,CD16=""),0,IF(OR($D16=1,BC16=1),0,INDEX(DATA!$CE$11:$CE$22,MATCH(TRUNC(Table!G16,0),DATA!$CD$11:$CD$22,0),1))),0)</f>
        <v>0</v>
      </c>
      <c r="AP16" s="1">
        <f t="shared" si="6"/>
        <v>0</v>
      </c>
      <c r="AT16">
        <f>IF(OR($D16=1,BC16=1),0,IF($G16=DATA!$GA$42,DATA!$GC$42,0))</f>
        <v>0</v>
      </c>
      <c r="AV16">
        <f>IFERROR(VLOOKUP(G16,DATA!$FZ$46:$GA$50,2),"")</f>
        <v>0</v>
      </c>
      <c r="AW16" s="1">
        <f>IFERROR(IF(LEFT(K16,3)=$N$2,0,IF(G16&gt;=DATA!$FZ$46,ROUND(Table!O16*AV16%,0),0)),0)</f>
        <v>0</v>
      </c>
      <c r="AX16" s="398">
        <f t="shared" si="27"/>
        <v>0</v>
      </c>
      <c r="AY16" s="398">
        <f t="shared" si="38"/>
        <v>0</v>
      </c>
      <c r="AZ16" s="398">
        <f t="shared" si="39"/>
        <v>0</v>
      </c>
      <c r="BA16" s="398">
        <f t="shared" si="28"/>
        <v>0</v>
      </c>
      <c r="BC16" s="23" t="str">
        <f t="shared" si="7"/>
        <v/>
      </c>
      <c r="BF16" s="8">
        <f>IFERROR(INDEX(DATA!$FZ$11:$GB$14,MATCH(Table!N16,DATA!$FY$11:$FY$14,1),INDEX(DATA!$GA$26:$GA$29,MATCH(G16,DATA!$FY$26:$FY$29,1),1)),0)</f>
        <v>0</v>
      </c>
      <c r="BG16" s="8">
        <f>IF(G16&lt;$BO$5,IFERROR(INDEX($BP$8:$BR$13,MATCH(Table!N16,$BO$8:$BO$13,1),INDEX(DATA!$GC$26:$GC$29,MATCH(G16,DATA!$FY$26:$FY$29,1),1)),0),IFERROR(INDEX(DATA!$FZ$18:$GB$23,MATCH(Table!N16,DATA!$FY$18:$FY$23,1),INDEX(DATA!$GC$26:$GC$29,MATCH(G16,DATA!$FY$26:$FY$29,1),1)),0))</f>
        <v>0</v>
      </c>
      <c r="BH16" s="425">
        <f>IFERROR(MIN(ROUND(N16*INDEX(DATA!$GB$26:$GB$29,MATCH(Table!G16,DATA!$FY$26:$FY$29,1),1),0)*1/100,2000),0)</f>
        <v>0</v>
      </c>
      <c r="BI16" s="409">
        <f>IFERROR(LOOKUP(Table!G16,DATA!$FY$26:$FY$29,DATA!$FZ$26:$FZ$29),0)</f>
        <v>10</v>
      </c>
      <c r="BJ16" s="409">
        <f>IFERROR(LOOKUP(Table!G16,DATA!$FY$26:$FY$29,DATA!$GD$26:$GD$29),0)</f>
        <v>0</v>
      </c>
      <c r="BK16" s="409">
        <f>IFERROR(LOOKUP(Table!G16,DATA!$FY$26:$FY$29,DATA!$GE$26:$GE$29),0)</f>
        <v>0</v>
      </c>
      <c r="BL16">
        <f>IFERROR(LOOKUP(Table!G16,DATA!$FY$26:$FY$29,DATA!$GF$26:$GF$29),0)</f>
        <v>0</v>
      </c>
      <c r="BN16">
        <f>IFERROR(INDEX(DATA!$CT$31:$CT$35,MATCH(R16,DATA!$CS$31:$CS$35,0),1),0)</f>
        <v>11000</v>
      </c>
      <c r="BV16" s="8">
        <f>SUMIFS(DATA!$BM$4:$BM13,DATA!$BK$4:$BK13,$BV$5,DATA!$BL$4:$BL13,Table!G16)</f>
        <v>0</v>
      </c>
      <c r="BW16" s="8">
        <f t="shared" si="29"/>
        <v>0</v>
      </c>
      <c r="CA16" s="11">
        <f t="shared" si="30"/>
        <v>2</v>
      </c>
      <c r="CB16" s="11" t="str">
        <f t="shared" si="31"/>
        <v/>
      </c>
      <c r="CC16" s="11" t="str">
        <f t="shared" si="32"/>
        <v/>
      </c>
      <c r="CD16" s="23" t="str">
        <f t="shared" si="33"/>
        <v/>
      </c>
      <c r="CE16" s="1" t="str">
        <f t="shared" si="34"/>
        <v/>
      </c>
      <c r="CF16">
        <f>IFERROR(COUNTIF($CE$7:$CE16,"&gt;="&amp;CE16),0)</f>
        <v>0</v>
      </c>
      <c r="CH16" s="1" t="e">
        <f t="shared" si="35"/>
        <v>#NUM!</v>
      </c>
      <c r="CI16" s="1" t="str">
        <f t="shared" si="36"/>
        <v/>
      </c>
    </row>
    <row r="17" spans="1:87" x14ac:dyDescent="0.25">
      <c r="A17" s="1">
        <f t="shared" si="8"/>
        <v>11</v>
      </c>
      <c r="B17" s="26">
        <f t="shared" si="9"/>
        <v>11</v>
      </c>
      <c r="D17">
        <f t="shared" si="10"/>
        <v>2</v>
      </c>
      <c r="E17">
        <v>11</v>
      </c>
      <c r="F17">
        <f t="shared" si="37"/>
        <v>11</v>
      </c>
      <c r="G17" s="5">
        <f>IFERROR(INDEX(DATA!$DY$4:$DY$55,Table!F17,1),"")</f>
        <v>46023</v>
      </c>
      <c r="H17" s="5">
        <f>IFERROR(INDEX(DATA!$DL$4:$DL$55,Table!F17,1),"")</f>
        <v>46053</v>
      </c>
      <c r="I17" s="5" t="str">
        <f t="shared" si="11"/>
        <v>01 to 31/Jan/2026</v>
      </c>
      <c r="J17" s="8">
        <f>IFERROR(INDEX(DATA!$ED$4:$ED$55,Table!F17,1),"")</f>
        <v>0</v>
      </c>
      <c r="K17" s="1" t="str">
        <f>IFERROR(INDEX(DATA!$DJ$4:$DJ$55,Table!F17,1),"")</f>
        <v/>
      </c>
      <c r="L17" s="1">
        <f>IFERROR(INDEX(DATA!$EG$4:$EG$55,Table!F17,1),"")</f>
        <v>31</v>
      </c>
      <c r="M17" s="1">
        <f>IFERROR(INDEX(DATA!$EH$4:$EH$55,Table!F17,1),"")</f>
        <v>31</v>
      </c>
      <c r="N17" s="1">
        <f>IFERROR(IF(G17="","",INDEX(DATA!$DT$4:$DT$55,Table!F17,1)),"")</f>
        <v>74770</v>
      </c>
      <c r="O17" s="1">
        <f>IFERROR(INDEX(DATA!$EF$4:$EF$55,Table!F17,1),0)</f>
        <v>74770</v>
      </c>
      <c r="P17" s="1">
        <f>IFERROR(VLOOKUP(G17,DATA!$FY$3:$FZ$7,2),"")</f>
        <v>37.31</v>
      </c>
      <c r="Q17" s="1">
        <f t="shared" si="12"/>
        <v>27897</v>
      </c>
      <c r="R17" s="1">
        <f t="shared" si="2"/>
        <v>10</v>
      </c>
      <c r="S17" s="1">
        <f t="shared" si="13"/>
        <v>7477</v>
      </c>
      <c r="T17" s="1">
        <f t="shared" si="14"/>
        <v>0</v>
      </c>
      <c r="U17" s="1">
        <f t="shared" si="14"/>
        <v>0</v>
      </c>
      <c r="V17" s="1">
        <f t="shared" si="14"/>
        <v>0</v>
      </c>
      <c r="W17" s="1">
        <f t="shared" si="15"/>
        <v>0</v>
      </c>
      <c r="X17" s="1">
        <f t="shared" si="16"/>
        <v>0</v>
      </c>
      <c r="Y17" s="1">
        <f t="shared" si="3"/>
        <v>0</v>
      </c>
      <c r="Z17" s="1">
        <f t="shared" si="17"/>
        <v>0</v>
      </c>
      <c r="AA17" s="1">
        <f t="shared" si="18"/>
        <v>0</v>
      </c>
      <c r="AB17" s="1">
        <f t="shared" si="19"/>
        <v>0</v>
      </c>
      <c r="AC17" s="1">
        <f t="shared" si="20"/>
        <v>0</v>
      </c>
      <c r="AD17" s="1">
        <f t="shared" si="4"/>
        <v>0</v>
      </c>
      <c r="AE17" s="1">
        <f t="shared" si="5"/>
        <v>110144</v>
      </c>
      <c r="AF17" s="1">
        <f t="shared" si="21"/>
        <v>10267</v>
      </c>
      <c r="AG17" s="1">
        <f t="shared" si="22"/>
        <v>3000</v>
      </c>
      <c r="AH17" s="1">
        <f t="shared" si="23"/>
        <v>120</v>
      </c>
      <c r="AI17" s="1">
        <f t="shared" si="24"/>
        <v>0</v>
      </c>
      <c r="AJ17" s="1">
        <f t="shared" si="25"/>
        <v>0</v>
      </c>
      <c r="AK17" s="1">
        <f t="shared" si="26"/>
        <v>0</v>
      </c>
      <c r="AL17" s="1">
        <f>IF(OR($D17=1,BC17=1),0,IF($G17=DATA!$GA$38,DATA!$GC$38,IF($G17=DATA!$GA$39,DATA!$GC$39,0)))</f>
        <v>0</v>
      </c>
      <c r="AM17" s="1">
        <f>IF(OR($D17=1,BC17=1),0,IF($G17=DATA!$GA$40,DATA!$GC$40,IF($G17=DATA!$GA$41,DATA!$GC$41,0)))</f>
        <v>0</v>
      </c>
      <c r="AN17" s="1">
        <f>IF(AND(CA17=1,CD17=""),0,IF(OR($D17=1,BC17=1),0,IF($X$5&lt;&gt;0,0,LOOKUP(AE17,{0,5000,6000,10000,15000,20000},{0,60,80,100,150,200}))))</f>
        <v>200</v>
      </c>
      <c r="AO17" s="1">
        <f>IFERROR(IF(AND(CA17=1,CD17=""),0,IF(OR($D17=1,BC17=1),0,INDEX(DATA!$CE$11:$CE$22,MATCH(TRUNC(Table!G17,0),DATA!$CD$11:$CD$22,0),1))),0)</f>
        <v>0</v>
      </c>
      <c r="AP17" s="1">
        <f t="shared" si="6"/>
        <v>0</v>
      </c>
      <c r="AT17">
        <f>IF(OR($D17=1,BC17=1),0,IF($G17=DATA!$GA$42,DATA!$GC$42,0))</f>
        <v>0</v>
      </c>
      <c r="AV17">
        <f>IFERROR(VLOOKUP(G17,DATA!$FZ$46:$GA$50,2),"")</f>
        <v>0</v>
      </c>
      <c r="AW17" s="1">
        <f>IFERROR(IF(LEFT(K17,3)=$N$2,0,IF(G17&gt;=DATA!$FZ$46,ROUND(Table!O17*AV17%,0),0)),0)</f>
        <v>0</v>
      </c>
      <c r="AX17" s="398">
        <f t="shared" si="27"/>
        <v>0</v>
      </c>
      <c r="AY17" s="398">
        <f t="shared" si="38"/>
        <v>0</v>
      </c>
      <c r="AZ17" s="398">
        <f t="shared" si="39"/>
        <v>0</v>
      </c>
      <c r="BA17" s="398">
        <f t="shared" si="28"/>
        <v>0</v>
      </c>
      <c r="BC17" s="23" t="str">
        <f t="shared" si="7"/>
        <v/>
      </c>
      <c r="BF17" s="8">
        <f>IFERROR(INDEX(DATA!$FZ$11:$GB$14,MATCH(Table!N17,DATA!$FY$11:$FY$14,1),INDEX(DATA!$GA$26:$GA$29,MATCH(G17,DATA!$FY$26:$FY$29,1),1)),0)</f>
        <v>0</v>
      </c>
      <c r="BG17" s="8">
        <f>IF(G17&lt;$BO$5,IFERROR(INDEX($BP$8:$BR$13,MATCH(Table!N17,$BO$8:$BO$13,1),INDEX(DATA!$GC$26:$GC$29,MATCH(G17,DATA!$FY$26:$FY$29,1),1)),0),IFERROR(INDEX(DATA!$FZ$18:$GB$23,MATCH(Table!N17,DATA!$FY$18:$FY$23,1),INDEX(DATA!$GC$26:$GC$29,MATCH(G17,DATA!$FY$26:$FY$29,1),1)),0))</f>
        <v>0</v>
      </c>
      <c r="BH17" s="425">
        <f>IFERROR(MIN(ROUND(N17*INDEX(DATA!$GB$26:$GB$29,MATCH(Table!G17,DATA!$FY$26:$FY$29,1),1),0)*1/100,2000),0)</f>
        <v>0</v>
      </c>
      <c r="BI17" s="409">
        <f>IFERROR(LOOKUP(Table!G17,DATA!$FY$26:$FY$29,DATA!$FZ$26:$FZ$29),0)</f>
        <v>10</v>
      </c>
      <c r="BJ17" s="409">
        <f>IFERROR(LOOKUP(Table!G17,DATA!$FY$26:$FY$29,DATA!$GD$26:$GD$29),0)</f>
        <v>0</v>
      </c>
      <c r="BK17" s="409">
        <f>IFERROR(LOOKUP(Table!G17,DATA!$FY$26:$FY$29,DATA!$GE$26:$GE$29),0)</f>
        <v>0</v>
      </c>
      <c r="BL17">
        <f>IFERROR(LOOKUP(Table!G17,DATA!$FY$26:$FY$29,DATA!$GF$26:$GF$29),0)</f>
        <v>0</v>
      </c>
      <c r="BN17">
        <f>IFERROR(INDEX(DATA!$CT$31:$CT$35,MATCH(R17,DATA!$CS$31:$CS$35,0),1),0)</f>
        <v>11000</v>
      </c>
      <c r="BV17" s="8">
        <f>SUMIFS(DATA!$BM$4:$BM14,DATA!$BK$4:$BK14,$BV$5,DATA!$BL$4:$BL14,Table!G17)</f>
        <v>0</v>
      </c>
      <c r="BW17" s="8">
        <f t="shared" si="29"/>
        <v>0</v>
      </c>
      <c r="CA17" s="11">
        <f t="shared" si="30"/>
        <v>2</v>
      </c>
      <c r="CB17" s="11" t="str">
        <f t="shared" si="31"/>
        <v/>
      </c>
      <c r="CC17" s="11" t="str">
        <f t="shared" si="32"/>
        <v/>
      </c>
      <c r="CD17" s="23" t="str">
        <f t="shared" si="33"/>
        <v/>
      </c>
      <c r="CE17" s="1" t="str">
        <f t="shared" si="34"/>
        <v/>
      </c>
      <c r="CF17">
        <f>IFERROR(COUNTIF($CE$7:$CE17,"&gt;="&amp;CE17),0)</f>
        <v>0</v>
      </c>
      <c r="CH17" s="1" t="e">
        <f t="shared" si="35"/>
        <v>#NUM!</v>
      </c>
      <c r="CI17" s="1" t="str">
        <f t="shared" si="36"/>
        <v/>
      </c>
    </row>
    <row r="18" spans="1:87" x14ac:dyDescent="0.25">
      <c r="A18" s="1">
        <f t="shared" si="8"/>
        <v>12</v>
      </c>
      <c r="B18" s="26">
        <f t="shared" si="9"/>
        <v>12</v>
      </c>
      <c r="D18">
        <f t="shared" si="10"/>
        <v>2</v>
      </c>
      <c r="E18">
        <v>12</v>
      </c>
      <c r="F18">
        <f t="shared" si="37"/>
        <v>12</v>
      </c>
      <c r="G18" s="5">
        <f>IFERROR(INDEX(DATA!$DY$4:$DY$55,Table!F18,1),"")</f>
        <v>46054</v>
      </c>
      <c r="H18" s="5">
        <f>IFERROR(INDEX(DATA!$DL$4:$DL$55,Table!F18,1),"")</f>
        <v>46081</v>
      </c>
      <c r="I18" s="5" t="str">
        <f t="shared" si="11"/>
        <v>01 to 28/Feb/2026</v>
      </c>
      <c r="J18" s="8">
        <f>IFERROR(INDEX(DATA!$ED$4:$ED$55,Table!F18,1),"")</f>
        <v>0</v>
      </c>
      <c r="K18" s="1" t="str">
        <f>IFERROR(INDEX(DATA!$DJ$4:$DJ$55,Table!F18,1),"")</f>
        <v/>
      </c>
      <c r="L18" s="1">
        <f>IFERROR(INDEX(DATA!$EG$4:$EG$55,Table!F18,1),"")</f>
        <v>28</v>
      </c>
      <c r="M18" s="1">
        <f>IFERROR(INDEX(DATA!$EH$4:$EH$55,Table!F18,1),"")</f>
        <v>28</v>
      </c>
      <c r="N18" s="1">
        <f>IFERROR(IF(G18="","",INDEX(DATA!$DT$4:$DT$55,Table!F18,1)),"")</f>
        <v>74770</v>
      </c>
      <c r="O18" s="1">
        <f>IFERROR(INDEX(DATA!$EF$4:$EF$55,Table!F18,1),0)</f>
        <v>74770</v>
      </c>
      <c r="P18" s="1">
        <f>IFERROR(VLOOKUP(G18,DATA!$FY$3:$FZ$7,2),"")</f>
        <v>37.31</v>
      </c>
      <c r="Q18" s="1">
        <f t="shared" si="12"/>
        <v>27897</v>
      </c>
      <c r="R18" s="1">
        <f t="shared" si="2"/>
        <v>10</v>
      </c>
      <c r="S18" s="1">
        <f t="shared" si="13"/>
        <v>7477</v>
      </c>
      <c r="T18" s="1">
        <f t="shared" si="14"/>
        <v>0</v>
      </c>
      <c r="U18" s="1">
        <f t="shared" si="14"/>
        <v>0</v>
      </c>
      <c r="V18" s="1">
        <f t="shared" si="14"/>
        <v>0</v>
      </c>
      <c r="W18" s="1">
        <f t="shared" si="15"/>
        <v>0</v>
      </c>
      <c r="X18" s="1">
        <f t="shared" si="16"/>
        <v>0</v>
      </c>
      <c r="Y18" s="1">
        <f t="shared" si="3"/>
        <v>0</v>
      </c>
      <c r="Z18" s="1">
        <f t="shared" si="17"/>
        <v>0</v>
      </c>
      <c r="AA18" s="1">
        <f t="shared" si="18"/>
        <v>0</v>
      </c>
      <c r="AB18" s="1">
        <f t="shared" si="19"/>
        <v>0</v>
      </c>
      <c r="AC18" s="1">
        <f t="shared" si="20"/>
        <v>0</v>
      </c>
      <c r="AD18" s="1">
        <f t="shared" si="4"/>
        <v>0</v>
      </c>
      <c r="AE18" s="1">
        <f t="shared" si="5"/>
        <v>110144</v>
      </c>
      <c r="AF18" s="1">
        <f t="shared" si="21"/>
        <v>10267</v>
      </c>
      <c r="AG18" s="1">
        <f t="shared" si="22"/>
        <v>3000</v>
      </c>
      <c r="AH18" s="1">
        <f t="shared" si="23"/>
        <v>120</v>
      </c>
      <c r="AI18" s="1">
        <f t="shared" si="24"/>
        <v>0</v>
      </c>
      <c r="AJ18" s="1">
        <f t="shared" si="25"/>
        <v>0</v>
      </c>
      <c r="AK18" s="1">
        <f t="shared" si="26"/>
        <v>0</v>
      </c>
      <c r="AL18" s="1">
        <f>IF(OR($D18=1,BC18=1),0,IF($G18=DATA!$GA$38,DATA!$GC$38,IF($G18=DATA!$GA$39,DATA!$GC$39,0)))</f>
        <v>0</v>
      </c>
      <c r="AM18" s="1">
        <f>IF(OR($D18=1,BC18=1),0,IF($G18=DATA!$GA$40,DATA!$GC$40,IF($G18=DATA!$GA$41,DATA!$GC$41,0)))</f>
        <v>0</v>
      </c>
      <c r="AN18" s="1">
        <f>IF(AND(CA18=1,CD18=""),0,IF(OR($D18=1,BC18=1),0,IF($X$5&lt;&gt;0,0,LOOKUP(AE18,{0,5000,6000,10000,15000,20000},{0,60,80,100,150,200}))))</f>
        <v>200</v>
      </c>
      <c r="AO18" s="1">
        <f>IFERROR(IF(AND(CA18=1,CD18=""),0,IF(OR($D18=1,BC18=1),0,INDEX(DATA!$CE$11:$CE$22,MATCH(TRUNC(Table!G18,0),DATA!$CD$11:$CD$22,0),1))),0)</f>
        <v>0</v>
      </c>
      <c r="AP18" s="1">
        <f t="shared" si="6"/>
        <v>0</v>
      </c>
      <c r="AT18">
        <f>IF(OR($D18=1,BC18=1),0,IF($G18=DATA!$GA$42,DATA!$GC$42,0))</f>
        <v>0</v>
      </c>
      <c r="AV18">
        <f>IFERROR(VLOOKUP(G18,DATA!$FZ$46:$GA$50,2),"")</f>
        <v>0</v>
      </c>
      <c r="AW18" s="1">
        <f>IFERROR(IF(LEFT(K18,3)=$N$2,0,IF(G18&gt;=DATA!$FZ$46,ROUND(Table!O18*AV18%,0),0)),0)</f>
        <v>0</v>
      </c>
      <c r="AX18" s="398">
        <f t="shared" si="27"/>
        <v>0</v>
      </c>
      <c r="AY18" s="398">
        <f t="shared" si="38"/>
        <v>0</v>
      </c>
      <c r="AZ18" s="398">
        <f t="shared" si="39"/>
        <v>0</v>
      </c>
      <c r="BA18" s="398">
        <f t="shared" si="28"/>
        <v>0</v>
      </c>
      <c r="BC18" s="23" t="str">
        <f t="shared" si="7"/>
        <v/>
      </c>
      <c r="BF18" s="8">
        <f>IFERROR(INDEX(DATA!$FZ$11:$GB$14,MATCH(Table!N18,DATA!$FY$11:$FY$14,1),INDEX(DATA!$GA$26:$GA$29,MATCH(G18,DATA!$FY$26:$FY$29,1),1)),0)</f>
        <v>0</v>
      </c>
      <c r="BG18" s="8">
        <f>IF(G18&lt;$BO$5,IFERROR(INDEX($BP$8:$BR$13,MATCH(Table!N18,$BO$8:$BO$13,1),INDEX(DATA!$GC$26:$GC$29,MATCH(G18,DATA!$FY$26:$FY$29,1),1)),0),IFERROR(INDEX(DATA!$FZ$18:$GB$23,MATCH(Table!N18,DATA!$FY$18:$FY$23,1),INDEX(DATA!$GC$26:$GC$29,MATCH(G18,DATA!$FY$26:$FY$29,1),1)),0))</f>
        <v>0</v>
      </c>
      <c r="BH18" s="425">
        <f>IFERROR(MIN(ROUND(N18*INDEX(DATA!$GB$26:$GB$29,MATCH(Table!G18,DATA!$FY$26:$FY$29,1),1),0)*1/100,2000),0)</f>
        <v>0</v>
      </c>
      <c r="BI18" s="409">
        <f>IFERROR(LOOKUP(Table!G18,DATA!$FY$26:$FY$29,DATA!$FZ$26:$FZ$29),0)</f>
        <v>10</v>
      </c>
      <c r="BJ18" s="409">
        <f>IFERROR(LOOKUP(Table!G18,DATA!$FY$26:$FY$29,DATA!$GD$26:$GD$29),0)</f>
        <v>0</v>
      </c>
      <c r="BK18" s="409">
        <f>IFERROR(LOOKUP(Table!G18,DATA!$FY$26:$FY$29,DATA!$GE$26:$GE$29),0)</f>
        <v>0</v>
      </c>
      <c r="BL18">
        <f>IFERROR(LOOKUP(Table!G18,DATA!$FY$26:$FY$29,DATA!$GF$26:$GF$29),0)</f>
        <v>0</v>
      </c>
      <c r="BN18">
        <f>IFERROR(INDEX(DATA!$CT$31:$CT$35,MATCH(R18,DATA!$CS$31:$CS$35,0),1),0)</f>
        <v>11000</v>
      </c>
      <c r="BV18" s="8">
        <f>SUMIFS(DATA!$BM$4:$BM15,DATA!$BK$4:$BK15,$BV$5,DATA!$BL$4:$BL15,Table!G18)</f>
        <v>0</v>
      </c>
      <c r="BW18" s="8">
        <f t="shared" si="29"/>
        <v>0</v>
      </c>
      <c r="CA18" s="11">
        <f t="shared" si="30"/>
        <v>2</v>
      </c>
      <c r="CB18" s="11" t="str">
        <f t="shared" si="31"/>
        <v/>
      </c>
      <c r="CC18" s="11" t="str">
        <f t="shared" si="32"/>
        <v/>
      </c>
      <c r="CD18" s="23" t="str">
        <f t="shared" si="33"/>
        <v/>
      </c>
      <c r="CE18" s="1" t="str">
        <f t="shared" si="34"/>
        <v/>
      </c>
      <c r="CF18">
        <f>IFERROR(COUNTIF($CE$7:$CE18,"&gt;="&amp;CE18),0)</f>
        <v>0</v>
      </c>
      <c r="CH18" s="1" t="e">
        <f t="shared" si="35"/>
        <v>#NUM!</v>
      </c>
      <c r="CI18" s="1" t="str">
        <f t="shared" si="36"/>
        <v/>
      </c>
    </row>
    <row r="19" spans="1:87" x14ac:dyDescent="0.25">
      <c r="A19" s="1" t="str">
        <f t="shared" si="8"/>
        <v/>
      </c>
      <c r="B19" s="26" t="str">
        <f t="shared" si="9"/>
        <v/>
      </c>
      <c r="D19">
        <f t="shared" si="10"/>
        <v>1</v>
      </c>
      <c r="E19">
        <v>13</v>
      </c>
      <c r="F19">
        <f t="shared" si="37"/>
        <v>13</v>
      </c>
      <c r="G19" s="5" t="str">
        <f>IFERROR(INDEX(DATA!$DY$4:$DY$55,Table!F19,1),"")</f>
        <v/>
      </c>
      <c r="H19" s="5" t="str">
        <f>IFERROR(INDEX(DATA!$DL$4:$DL$55,Table!F19,1),"")</f>
        <v/>
      </c>
      <c r="I19" s="5" t="str">
        <f t="shared" si="11"/>
        <v/>
      </c>
      <c r="J19" s="8">
        <f>IFERROR(INDEX(DATA!$ED$4:$ED$55,Table!F19,1),"")</f>
        <v>0</v>
      </c>
      <c r="K19" s="1" t="str">
        <f>IFERROR(INDEX(DATA!$DJ$4:$DJ$55,Table!F19,1),"")</f>
        <v/>
      </c>
      <c r="L19" s="1" t="str">
        <f>IFERROR(INDEX(DATA!$EG$4:$EG$55,Table!F19,1),"")</f>
        <v/>
      </c>
      <c r="M19" s="1" t="str">
        <f>IFERROR(INDEX(DATA!$EH$4:$EH$55,Table!F19,1),"")</f>
        <v/>
      </c>
      <c r="N19" s="1" t="str">
        <f>IFERROR(IF(G19="","",INDEX(DATA!$DT$4:$DT$55,Table!F19,1)),"")</f>
        <v/>
      </c>
      <c r="O19" s="1" t="str">
        <f>IFERROR(INDEX(DATA!$EF$4:$EF$55,Table!F19,1),0)</f>
        <v/>
      </c>
      <c r="P19" s="1" t="str">
        <f>IFERROR(VLOOKUP(G19,DATA!$FY$3:$FZ$7,2),"")</f>
        <v/>
      </c>
      <c r="Q19" s="1">
        <f t="shared" si="12"/>
        <v>0</v>
      </c>
      <c r="R19" s="1" t="str">
        <f t="shared" si="2"/>
        <v/>
      </c>
      <c r="S19" s="1">
        <f t="shared" si="13"/>
        <v>0</v>
      </c>
      <c r="T19" s="1">
        <f t="shared" si="14"/>
        <v>0</v>
      </c>
      <c r="U19" s="1">
        <f t="shared" si="14"/>
        <v>0</v>
      </c>
      <c r="V19" s="1">
        <f t="shared" si="14"/>
        <v>0</v>
      </c>
      <c r="W19" s="1">
        <f t="shared" si="15"/>
        <v>0</v>
      </c>
      <c r="X19" s="1">
        <f t="shared" si="16"/>
        <v>0</v>
      </c>
      <c r="Y19" s="1">
        <f t="shared" si="3"/>
        <v>0</v>
      </c>
      <c r="Z19" s="1">
        <f t="shared" si="17"/>
        <v>0</v>
      </c>
      <c r="AA19" s="1">
        <f t="shared" si="18"/>
        <v>0</v>
      </c>
      <c r="AB19" s="1">
        <f t="shared" si="19"/>
        <v>0</v>
      </c>
      <c r="AC19" s="1">
        <f t="shared" si="20"/>
        <v>0</v>
      </c>
      <c r="AD19" s="1">
        <f t="shared" si="4"/>
        <v>0</v>
      </c>
      <c r="AE19" s="1">
        <f t="shared" si="5"/>
        <v>0</v>
      </c>
      <c r="AF19" s="1">
        <f t="shared" si="21"/>
        <v>0</v>
      </c>
      <c r="AG19" s="1">
        <f t="shared" si="22"/>
        <v>0</v>
      </c>
      <c r="AH19" s="1">
        <f t="shared" si="23"/>
        <v>0</v>
      </c>
      <c r="AI19" s="1">
        <f t="shared" si="24"/>
        <v>0</v>
      </c>
      <c r="AJ19" s="1">
        <f t="shared" si="25"/>
        <v>0</v>
      </c>
      <c r="AK19" s="1">
        <f t="shared" si="26"/>
        <v>0</v>
      </c>
      <c r="AL19" s="1">
        <f>IF(OR($D19=1,BC19=1),0,IF($G19=DATA!$GA$38,DATA!$GC$38,IF($G19=DATA!$GA$39,DATA!$GC$39,0)))</f>
        <v>0</v>
      </c>
      <c r="AM19" s="1">
        <f>IF(OR($D19=1,BC19=1),0,IF($G19=DATA!$GA$40,DATA!$GC$40,IF($G19=DATA!$GA$41,DATA!$GC$41,0)))</f>
        <v>0</v>
      </c>
      <c r="AN19" s="1">
        <f>IF(AND(CA19=1,CD19=""),0,IF(OR($D19=1,BC19=1),0,IF($X$5&lt;&gt;0,0,LOOKUP(AE19,{0,5000,6000,10000,15000,20000},{0,60,80,100,150,200}))))</f>
        <v>0</v>
      </c>
      <c r="AO19" s="1">
        <f>IFERROR(IF(AND(CA19=1,CD19=""),0,IF(OR($D19=1,BC19=1),0,INDEX(DATA!$CE$11:$CE$22,MATCH(TRUNC(Table!G19,0),DATA!$CD$11:$CD$22,0),1))),0)</f>
        <v>0</v>
      </c>
      <c r="AP19" s="1">
        <f t="shared" si="6"/>
        <v>0</v>
      </c>
      <c r="AT19">
        <f>IF(OR($D19=1,BC19=1),0,IF($G19=DATA!$GA$42,DATA!$GC$42,0))</f>
        <v>0</v>
      </c>
      <c r="AV19" t="str">
        <f>IFERROR(VLOOKUP(G19,DATA!$FZ$46:$GA$50,2),"")</f>
        <v/>
      </c>
      <c r="AW19" s="1">
        <f>IFERROR(IF(LEFT(K19,3)=$N$2,0,IF(G19&gt;=DATA!$FZ$46,ROUND(Table!O19*AV19%,0),0)),0)</f>
        <v>0</v>
      </c>
      <c r="AX19" s="398">
        <f t="shared" si="27"/>
        <v>0</v>
      </c>
      <c r="AY19" s="398">
        <f t="shared" si="38"/>
        <v>0</v>
      </c>
      <c r="AZ19" s="398">
        <f t="shared" si="39"/>
        <v>0</v>
      </c>
      <c r="BA19" s="398">
        <f t="shared" si="28"/>
        <v>0</v>
      </c>
      <c r="BC19" s="23" t="str">
        <f t="shared" si="7"/>
        <v/>
      </c>
      <c r="BF19" s="8">
        <f>IFERROR(INDEX(DATA!$FZ$11:$GB$14,MATCH(Table!N19,DATA!$FY$11:$FY$14,1),INDEX(DATA!$GA$26:$GA$29,MATCH(G19,DATA!$FY$26:$FY$29,1),1)),0)</f>
        <v>0</v>
      </c>
      <c r="BG19" s="8">
        <f>IF(G19&lt;$BO$5,IFERROR(INDEX($BP$8:$BR$13,MATCH(Table!N19,$BO$8:$BO$13,1),INDEX(DATA!$GC$26:$GC$29,MATCH(G19,DATA!$FY$26:$FY$29,1),1)),0),IFERROR(INDEX(DATA!$FZ$18:$GB$23,MATCH(Table!N19,DATA!$FY$18:$FY$23,1),INDEX(DATA!$GC$26:$GC$29,MATCH(G19,DATA!$FY$26:$FY$29,1),1)),0))</f>
        <v>0</v>
      </c>
      <c r="BH19" s="425">
        <f>IFERROR(MIN(ROUND(N19*INDEX(DATA!$GB$26:$GB$29,MATCH(Table!G19,DATA!$FY$26:$FY$29,1),1),0)*1/100,2000),0)</f>
        <v>0</v>
      </c>
      <c r="BI19" s="409">
        <f>IFERROR(LOOKUP(Table!G19,DATA!$FY$26:$FY$29,DATA!$FZ$26:$FZ$29),0)</f>
        <v>12</v>
      </c>
      <c r="BJ19" s="409">
        <f>IFERROR(LOOKUP(Table!G19,DATA!$FY$26:$FY$29,DATA!$GD$26:$GD$29),0)</f>
        <v>0</v>
      </c>
      <c r="BK19" s="409">
        <f>IFERROR(LOOKUP(Table!G19,DATA!$FY$26:$FY$29,DATA!$GE$26:$GE$29),0)</f>
        <v>0</v>
      </c>
      <c r="BL19">
        <f>IFERROR(LOOKUP(Table!G19,DATA!$FY$26:$FY$29,DATA!$GF$26:$GF$29),0)</f>
        <v>0</v>
      </c>
      <c r="BN19">
        <f>IFERROR(INDEX(DATA!$CT$31:$CT$35,MATCH(R19,DATA!$CS$31:$CS$35,0),1),0)</f>
        <v>0</v>
      </c>
      <c r="BV19" s="8">
        <f>SUMIFS(DATA!$BM$4:$BM16,DATA!$BK$4:$BK16,$BV$5,DATA!$BL$4:$BL16,Table!G19)</f>
        <v>0</v>
      </c>
      <c r="BW19" s="8">
        <f t="shared" si="29"/>
        <v>0</v>
      </c>
      <c r="CA19" s="11">
        <f t="shared" si="30"/>
        <v>2</v>
      </c>
      <c r="CB19" s="11" t="str">
        <f t="shared" si="31"/>
        <v/>
      </c>
      <c r="CC19" s="11" t="str">
        <f t="shared" si="32"/>
        <v/>
      </c>
      <c r="CD19" s="23" t="str">
        <f t="shared" si="33"/>
        <v/>
      </c>
      <c r="CE19" s="1" t="str">
        <f t="shared" si="34"/>
        <v/>
      </c>
      <c r="CF19">
        <f>IFERROR(COUNTIF($CE$7:$CE19,"&gt;="&amp;CE19),0)</f>
        <v>0</v>
      </c>
      <c r="CH19" s="1" t="e">
        <f t="shared" si="35"/>
        <v>#NUM!</v>
      </c>
      <c r="CI19" s="1" t="str">
        <f t="shared" si="36"/>
        <v/>
      </c>
    </row>
    <row r="20" spans="1:87" x14ac:dyDescent="0.25">
      <c r="A20" s="1" t="str">
        <f t="shared" si="8"/>
        <v/>
      </c>
      <c r="B20" s="26" t="str">
        <f t="shared" si="9"/>
        <v/>
      </c>
      <c r="D20">
        <f t="shared" si="10"/>
        <v>1</v>
      </c>
      <c r="E20">
        <v>14</v>
      </c>
      <c r="F20">
        <f t="shared" si="37"/>
        <v>14</v>
      </c>
      <c r="G20" s="5" t="str">
        <f>IFERROR(INDEX(DATA!$DY$4:$DY$55,Table!F20,1),"")</f>
        <v/>
      </c>
      <c r="H20" s="5" t="str">
        <f>IFERROR(INDEX(DATA!$DL$4:$DL$55,Table!F20,1),"")</f>
        <v/>
      </c>
      <c r="I20" s="5" t="str">
        <f t="shared" si="11"/>
        <v/>
      </c>
      <c r="J20" s="8">
        <f>IFERROR(INDEX(DATA!$ED$4:$ED$55,Table!F20,1),"")</f>
        <v>0</v>
      </c>
      <c r="K20" s="1" t="str">
        <f>IFERROR(INDEX(DATA!$DJ$4:$DJ$55,Table!F20,1),"")</f>
        <v/>
      </c>
      <c r="L20" s="1" t="str">
        <f>IFERROR(INDEX(DATA!$EG$4:$EG$55,Table!F20,1),"")</f>
        <v/>
      </c>
      <c r="M20" s="1" t="str">
        <f>IFERROR(INDEX(DATA!$EH$4:$EH$55,Table!F20,1),"")</f>
        <v/>
      </c>
      <c r="N20" s="1" t="str">
        <f>IFERROR(IF(G20="","",INDEX(DATA!$DT$4:$DT$55,Table!F20,1)),"")</f>
        <v/>
      </c>
      <c r="O20" s="1" t="str">
        <f>IFERROR(INDEX(DATA!$EF$4:$EF$55,Table!F20,1),0)</f>
        <v/>
      </c>
      <c r="P20" s="1" t="str">
        <f>IFERROR(VLOOKUP(G20,DATA!$FY$3:$FZ$7,2),"")</f>
        <v/>
      </c>
      <c r="Q20" s="1">
        <f t="shared" si="12"/>
        <v>0</v>
      </c>
      <c r="R20" s="1" t="str">
        <f t="shared" si="2"/>
        <v/>
      </c>
      <c r="S20" s="1">
        <f t="shared" si="13"/>
        <v>0</v>
      </c>
      <c r="T20" s="1">
        <f t="shared" si="14"/>
        <v>0</v>
      </c>
      <c r="U20" s="1">
        <f t="shared" si="14"/>
        <v>0</v>
      </c>
      <c r="V20" s="1">
        <f t="shared" si="14"/>
        <v>0</v>
      </c>
      <c r="W20" s="1">
        <f t="shared" si="15"/>
        <v>0</v>
      </c>
      <c r="X20" s="1">
        <f t="shared" si="16"/>
        <v>0</v>
      </c>
      <c r="Y20" s="1">
        <f t="shared" si="3"/>
        <v>0</v>
      </c>
      <c r="Z20" s="1">
        <f t="shared" si="17"/>
        <v>0</v>
      </c>
      <c r="AA20" s="1">
        <f t="shared" si="18"/>
        <v>0</v>
      </c>
      <c r="AB20" s="1">
        <f t="shared" si="19"/>
        <v>0</v>
      </c>
      <c r="AC20" s="1">
        <f t="shared" si="20"/>
        <v>0</v>
      </c>
      <c r="AD20" s="1">
        <f t="shared" si="4"/>
        <v>0</v>
      </c>
      <c r="AE20" s="1">
        <f t="shared" si="5"/>
        <v>0</v>
      </c>
      <c r="AF20" s="1">
        <f t="shared" si="21"/>
        <v>0</v>
      </c>
      <c r="AG20" s="1">
        <f t="shared" si="22"/>
        <v>0</v>
      </c>
      <c r="AH20" s="1">
        <f t="shared" si="23"/>
        <v>0</v>
      </c>
      <c r="AI20" s="1">
        <f t="shared" si="24"/>
        <v>0</v>
      </c>
      <c r="AJ20" s="1">
        <f t="shared" si="25"/>
        <v>0</v>
      </c>
      <c r="AK20" s="1">
        <f t="shared" si="26"/>
        <v>0</v>
      </c>
      <c r="AL20" s="1">
        <f>IF(OR($D20=1,BC20=1),0,IF($G20=DATA!$GA$38,DATA!$GC$38,IF($G20=DATA!$GA$39,DATA!$GC$39,0)))</f>
        <v>0</v>
      </c>
      <c r="AM20" s="1">
        <f>IF(OR($D20=1,BC20=1),0,IF($G20=DATA!$GA$40,DATA!$GC$40,IF($G20=DATA!$GA$41,DATA!$GC$41,0)))</f>
        <v>0</v>
      </c>
      <c r="AN20" s="1">
        <f>IF(AND(CA20=1,CD20=""),0,IF(OR($D20=1,BC20=1),0,IF($X$5&lt;&gt;0,0,LOOKUP(AE20,{0,5000,6000,10000,15000,20000},{0,60,80,100,150,200}))))</f>
        <v>0</v>
      </c>
      <c r="AO20" s="1">
        <f>IFERROR(IF(AND(CA20=1,CD20=""),0,IF(OR($D20=1,BC20=1),0,INDEX(DATA!$CE$11:$CE$22,MATCH(TRUNC(Table!G20,0),DATA!$CD$11:$CD$22,0),1))),0)</f>
        <v>0</v>
      </c>
      <c r="AP20" s="1">
        <f t="shared" si="6"/>
        <v>0</v>
      </c>
      <c r="AT20">
        <f>IF(OR($D20=1,BC20=1),0,IF($G20=DATA!$GA$42,DATA!$GC$42,0))</f>
        <v>0</v>
      </c>
      <c r="AV20" t="str">
        <f>IFERROR(VLOOKUP(G20,DATA!$FZ$46:$GA$50,2),"")</f>
        <v/>
      </c>
      <c r="AW20" s="1">
        <f>IFERROR(IF(LEFT(K20,3)=$N$2,0,IF(G20&gt;=DATA!$FZ$46,ROUND(Table!O20*AV20%,0),0)),0)</f>
        <v>0</v>
      </c>
      <c r="AX20" s="398">
        <f t="shared" si="27"/>
        <v>0</v>
      </c>
      <c r="AY20" s="398">
        <f t="shared" si="38"/>
        <v>0</v>
      </c>
      <c r="AZ20" s="398">
        <f t="shared" si="39"/>
        <v>0</v>
      </c>
      <c r="BA20" s="398">
        <f t="shared" si="28"/>
        <v>0</v>
      </c>
      <c r="BC20" s="23" t="str">
        <f t="shared" si="7"/>
        <v/>
      </c>
      <c r="BF20" s="8">
        <f>IFERROR(INDEX(DATA!$FZ$11:$GB$14,MATCH(Table!N20,DATA!$FY$11:$FY$14,1),INDEX(DATA!$GA$26:$GA$29,MATCH(G20,DATA!$FY$26:$FY$29,1),1)),0)</f>
        <v>0</v>
      </c>
      <c r="BG20" s="8">
        <f>IF(G20&lt;$BO$5,IFERROR(INDEX($BP$8:$BR$13,MATCH(Table!N20,$BO$8:$BO$13,1),INDEX(DATA!$GC$26:$GC$29,MATCH(G20,DATA!$FY$26:$FY$29,1),1)),0),IFERROR(INDEX(DATA!$FZ$18:$GB$23,MATCH(Table!N20,DATA!$FY$18:$FY$23,1),INDEX(DATA!$GC$26:$GC$29,MATCH(G20,DATA!$FY$26:$FY$29,1),1)),0))</f>
        <v>0</v>
      </c>
      <c r="BH20" s="425">
        <f>IFERROR(MIN(ROUND(N20*INDEX(DATA!$GB$26:$GB$29,MATCH(Table!G20,DATA!$FY$26:$FY$29,1),1),0)*1/100,2000),0)</f>
        <v>0</v>
      </c>
      <c r="BI20" s="409">
        <f>IFERROR(LOOKUP(Table!G20,DATA!$FY$26:$FY$29,DATA!$FZ$26:$FZ$29),0)</f>
        <v>12</v>
      </c>
      <c r="BJ20" s="409">
        <f>IFERROR(LOOKUP(Table!G20,DATA!$FY$26:$FY$29,DATA!$GD$26:$GD$29),0)</f>
        <v>0</v>
      </c>
      <c r="BK20" s="409">
        <f>IFERROR(LOOKUP(Table!G20,DATA!$FY$26:$FY$29,DATA!$GE$26:$GE$29),0)</f>
        <v>0</v>
      </c>
      <c r="BL20">
        <f>IFERROR(LOOKUP(Table!G20,DATA!$FY$26:$FY$29,DATA!$GF$26:$GF$29),0)</f>
        <v>0</v>
      </c>
      <c r="BN20">
        <f>IFERROR(INDEX(DATA!$CT$31:$CT$35,MATCH(R20,DATA!$CS$31:$CS$35,0),1),0)</f>
        <v>0</v>
      </c>
      <c r="BV20" s="8">
        <f>SUMIFS(DATA!$BM$4:$BM17,DATA!$BK$4:$BK17,$BV$5,DATA!$BL$4:$BL17,Table!G20)</f>
        <v>0</v>
      </c>
      <c r="BW20" s="8">
        <f t="shared" si="29"/>
        <v>0</v>
      </c>
      <c r="CA20" s="11">
        <f t="shared" si="30"/>
        <v>2</v>
      </c>
      <c r="CB20" s="11" t="str">
        <f t="shared" si="31"/>
        <v/>
      </c>
      <c r="CC20" s="11" t="str">
        <f t="shared" si="32"/>
        <v/>
      </c>
      <c r="CD20" s="23" t="str">
        <f t="shared" si="33"/>
        <v/>
      </c>
      <c r="CE20" s="1" t="str">
        <f t="shared" si="34"/>
        <v/>
      </c>
      <c r="CF20">
        <f>IFERROR(COUNTIF($CE$7:$CE20,"&gt;="&amp;CE20),0)</f>
        <v>0</v>
      </c>
      <c r="CH20" s="1" t="e">
        <f t="shared" si="35"/>
        <v>#NUM!</v>
      </c>
      <c r="CI20" s="1" t="str">
        <f t="shared" si="36"/>
        <v/>
      </c>
    </row>
    <row r="21" spans="1:87" x14ac:dyDescent="0.25">
      <c r="A21" s="1" t="str">
        <f t="shared" si="8"/>
        <v/>
      </c>
      <c r="B21" s="26" t="str">
        <f t="shared" si="9"/>
        <v/>
      </c>
      <c r="D21">
        <f t="shared" si="10"/>
        <v>1</v>
      </c>
      <c r="E21">
        <v>15</v>
      </c>
      <c r="F21">
        <f t="shared" si="37"/>
        <v>15</v>
      </c>
      <c r="G21" s="5" t="str">
        <f>IFERROR(INDEX(DATA!$DY$4:$DY$55,Table!F21,1),"")</f>
        <v/>
      </c>
      <c r="H21" s="5" t="str">
        <f>IFERROR(INDEX(DATA!$DL$4:$DL$55,Table!F21,1),"")</f>
        <v/>
      </c>
      <c r="I21" s="5" t="str">
        <f t="shared" si="11"/>
        <v/>
      </c>
      <c r="J21" s="8">
        <f>IFERROR(INDEX(DATA!$ED$4:$ED$55,Table!F21,1),"")</f>
        <v>0</v>
      </c>
      <c r="K21" s="1" t="str">
        <f>IFERROR(INDEX(DATA!$DJ$4:$DJ$55,Table!F21,1),"")</f>
        <v/>
      </c>
      <c r="L21" s="1" t="str">
        <f>IFERROR(INDEX(DATA!$EG$4:$EG$55,Table!F21,1),"")</f>
        <v/>
      </c>
      <c r="M21" s="1" t="str">
        <f>IFERROR(INDEX(DATA!$EH$4:$EH$55,Table!F21,1),"")</f>
        <v/>
      </c>
      <c r="N21" s="1" t="str">
        <f>IFERROR(IF(G21="","",INDEX(DATA!$DT$4:$DT$55,Table!F21,1)),"")</f>
        <v/>
      </c>
      <c r="O21" s="1" t="str">
        <f>IFERROR(INDEX(DATA!$EF$4:$EF$55,Table!F21,1),0)</f>
        <v/>
      </c>
      <c r="P21" s="1" t="str">
        <f>IFERROR(VLOOKUP(G21,DATA!$FY$3:$FZ$7,2),"")</f>
        <v/>
      </c>
      <c r="Q21" s="1">
        <f t="shared" si="12"/>
        <v>0</v>
      </c>
      <c r="R21" s="1" t="str">
        <f t="shared" si="2"/>
        <v/>
      </c>
      <c r="S21" s="1">
        <f t="shared" si="13"/>
        <v>0</v>
      </c>
      <c r="T21" s="1">
        <f t="shared" si="14"/>
        <v>0</v>
      </c>
      <c r="U21" s="1">
        <f t="shared" si="14"/>
        <v>0</v>
      </c>
      <c r="V21" s="1">
        <f t="shared" si="14"/>
        <v>0</v>
      </c>
      <c r="W21" s="1">
        <f t="shared" si="15"/>
        <v>0</v>
      </c>
      <c r="X21" s="1">
        <f t="shared" si="16"/>
        <v>0</v>
      </c>
      <c r="Y21" s="1">
        <f t="shared" si="3"/>
        <v>0</v>
      </c>
      <c r="Z21" s="1">
        <f t="shared" si="17"/>
        <v>0</v>
      </c>
      <c r="AA21" s="1">
        <f t="shared" si="18"/>
        <v>0</v>
      </c>
      <c r="AB21" s="1">
        <f t="shared" si="19"/>
        <v>0</v>
      </c>
      <c r="AC21" s="1">
        <f t="shared" si="20"/>
        <v>0</v>
      </c>
      <c r="AD21" s="1">
        <f t="shared" si="4"/>
        <v>0</v>
      </c>
      <c r="AE21" s="1">
        <f t="shared" si="5"/>
        <v>0</v>
      </c>
      <c r="AF21" s="1">
        <f t="shared" si="21"/>
        <v>0</v>
      </c>
      <c r="AG21" s="1">
        <f t="shared" si="22"/>
        <v>0</v>
      </c>
      <c r="AH21" s="1">
        <f t="shared" si="23"/>
        <v>0</v>
      </c>
      <c r="AI21" s="1">
        <f t="shared" si="24"/>
        <v>0</v>
      </c>
      <c r="AJ21" s="1">
        <f t="shared" si="25"/>
        <v>0</v>
      </c>
      <c r="AK21" s="1">
        <f t="shared" si="26"/>
        <v>0</v>
      </c>
      <c r="AL21" s="1">
        <f>IF(OR($D21=1,BC21=1),0,IF($G21=DATA!$GA$38,DATA!$GC$38,IF($G21=DATA!$GA$39,DATA!$GC$39,0)))</f>
        <v>0</v>
      </c>
      <c r="AM21" s="1">
        <f>IF(OR($D21=1,BC21=1),0,IF($G21=DATA!$GA$40,DATA!$GC$40,IF($G21=DATA!$GA$41,DATA!$GC$41,0)))</f>
        <v>0</v>
      </c>
      <c r="AN21" s="1">
        <f>IF(AND(CA21=1,CD21=""),0,IF(OR($D21=1,BC21=1),0,IF($X$5&lt;&gt;0,0,LOOKUP(AE21,{0,5000,6000,10000,15000,20000},{0,60,80,100,150,200}))))</f>
        <v>0</v>
      </c>
      <c r="AO21" s="1">
        <f>IFERROR(IF(AND(CA21=1,CD21=""),0,IF(OR($D21=1,BC21=1),0,INDEX(DATA!$CE$11:$CE$22,MATCH(TRUNC(Table!G21,0),DATA!$CD$11:$CD$22,0),1))),0)</f>
        <v>0</v>
      </c>
      <c r="AP21" s="1">
        <f t="shared" si="6"/>
        <v>0</v>
      </c>
      <c r="AT21">
        <f>IF(OR($D21=1,BC21=1),0,IF($G21=DATA!$GA$42,DATA!$GC$42,0))</f>
        <v>0</v>
      </c>
      <c r="AV21" t="str">
        <f>IFERROR(VLOOKUP(G21,DATA!$FZ$46:$GA$50,2),"")</f>
        <v/>
      </c>
      <c r="AW21" s="1">
        <f>IFERROR(IF(LEFT(K21,3)=$N$2,0,IF(G21&gt;=DATA!$FZ$46,ROUND(Table!O21*AV21%,0),0)),0)</f>
        <v>0</v>
      </c>
      <c r="AX21" s="398">
        <f t="shared" si="27"/>
        <v>0</v>
      </c>
      <c r="AY21" s="398">
        <f t="shared" si="38"/>
        <v>0</v>
      </c>
      <c r="AZ21" s="398">
        <f t="shared" si="39"/>
        <v>0</v>
      </c>
      <c r="BA21" s="398">
        <f t="shared" si="28"/>
        <v>0</v>
      </c>
      <c r="BC21" s="23" t="str">
        <f t="shared" si="7"/>
        <v/>
      </c>
      <c r="BF21" s="8">
        <f>IFERROR(INDEX(DATA!$FZ$11:$GB$14,MATCH(Table!N21,DATA!$FY$11:$FY$14,1),INDEX(DATA!$GA$26:$GA$29,MATCH(G21,DATA!$FY$26:$FY$29,1),1)),0)</f>
        <v>0</v>
      </c>
      <c r="BG21" s="8">
        <f>IF(G21&lt;$BO$5,IFERROR(INDEX($BP$8:$BR$13,MATCH(Table!N21,$BO$8:$BO$13,1),INDEX(DATA!$GC$26:$GC$29,MATCH(G21,DATA!$FY$26:$FY$29,1),1)),0),IFERROR(INDEX(DATA!$FZ$18:$GB$23,MATCH(Table!N21,DATA!$FY$18:$FY$23,1),INDEX(DATA!$GC$26:$GC$29,MATCH(G21,DATA!$FY$26:$FY$29,1),1)),0))</f>
        <v>0</v>
      </c>
      <c r="BH21" s="425">
        <f>IFERROR(MIN(ROUND(N21*INDEX(DATA!$GB$26:$GB$29,MATCH(Table!G21,DATA!$FY$26:$FY$29,1),1),0)*1/100,2000),0)</f>
        <v>0</v>
      </c>
      <c r="BI21" s="409">
        <f>IFERROR(LOOKUP(Table!G21,DATA!$FY$26:$FY$29,DATA!$FZ$26:$FZ$29),0)</f>
        <v>12</v>
      </c>
      <c r="BJ21" s="409">
        <f>IFERROR(LOOKUP(Table!G21,DATA!$FY$26:$FY$29,DATA!$GD$26:$GD$29),0)</f>
        <v>0</v>
      </c>
      <c r="BK21" s="409">
        <f>IFERROR(LOOKUP(Table!G21,DATA!$FY$26:$FY$29,DATA!$GE$26:$GE$29),0)</f>
        <v>0</v>
      </c>
      <c r="BL21">
        <f>IFERROR(LOOKUP(Table!G21,DATA!$FY$26:$FY$29,DATA!$GF$26:$GF$29),0)</f>
        <v>0</v>
      </c>
      <c r="BN21">
        <f>IFERROR(INDEX(DATA!$CT$31:$CT$35,MATCH(R21,DATA!$CS$31:$CS$35,0),1),0)</f>
        <v>0</v>
      </c>
      <c r="BV21" s="8">
        <f>SUMIFS(DATA!$BM$4:$BM18,DATA!$BK$4:$BK18,$BV$5,DATA!$BL$4:$BL18,Table!G21)</f>
        <v>0</v>
      </c>
      <c r="BW21" s="8">
        <f t="shared" si="29"/>
        <v>0</v>
      </c>
      <c r="CA21" s="11">
        <f t="shared" si="30"/>
        <v>2</v>
      </c>
      <c r="CB21" s="11" t="str">
        <f t="shared" si="31"/>
        <v/>
      </c>
      <c r="CC21" s="11" t="str">
        <f t="shared" si="32"/>
        <v/>
      </c>
      <c r="CD21" s="23" t="str">
        <f t="shared" si="33"/>
        <v/>
      </c>
      <c r="CE21" s="1" t="str">
        <f t="shared" si="34"/>
        <v/>
      </c>
      <c r="CF21">
        <f>IFERROR(COUNTIF($CE$7:$CE21,"&gt;="&amp;CE21),0)</f>
        <v>0</v>
      </c>
      <c r="CH21" s="1" t="e">
        <f t="shared" si="35"/>
        <v>#NUM!</v>
      </c>
      <c r="CI21" s="1" t="str">
        <f t="shared" si="36"/>
        <v/>
      </c>
    </row>
    <row r="22" spans="1:87" x14ac:dyDescent="0.25">
      <c r="A22" s="1" t="str">
        <f t="shared" si="8"/>
        <v/>
      </c>
      <c r="B22" s="26" t="str">
        <f t="shared" si="9"/>
        <v/>
      </c>
      <c r="D22">
        <f t="shared" si="10"/>
        <v>1</v>
      </c>
      <c r="E22">
        <v>16</v>
      </c>
      <c r="F22">
        <f t="shared" si="37"/>
        <v>16</v>
      </c>
      <c r="G22" s="5" t="str">
        <f>IFERROR(INDEX(DATA!$DY$4:$DY$55,Table!F22,1),"")</f>
        <v/>
      </c>
      <c r="H22" s="5" t="str">
        <f>IFERROR(INDEX(DATA!$DL$4:$DL$55,Table!F22,1),"")</f>
        <v/>
      </c>
      <c r="I22" s="5" t="str">
        <f t="shared" si="11"/>
        <v/>
      </c>
      <c r="J22" s="8">
        <f>IFERROR(INDEX(DATA!$ED$4:$ED$55,Table!F22,1),"")</f>
        <v>0</v>
      </c>
      <c r="K22" s="1" t="str">
        <f>IFERROR(INDEX(DATA!$DJ$4:$DJ$55,Table!F22,1),"")</f>
        <v/>
      </c>
      <c r="L22" s="1" t="str">
        <f>IFERROR(INDEX(DATA!$EG$4:$EG$55,Table!F22,1),"")</f>
        <v/>
      </c>
      <c r="M22" s="1" t="str">
        <f>IFERROR(INDEX(DATA!$EH$4:$EH$55,Table!F22,1),"")</f>
        <v/>
      </c>
      <c r="N22" s="1" t="str">
        <f>IFERROR(IF(G22="","",INDEX(DATA!$DT$4:$DT$55,Table!F22,1)),"")</f>
        <v/>
      </c>
      <c r="O22" s="1" t="str">
        <f>IFERROR(INDEX(DATA!$EF$4:$EF$55,Table!F22,1),0)</f>
        <v/>
      </c>
      <c r="P22" s="1" t="str">
        <f>IFERROR(VLOOKUP(G22,DATA!$FY$3:$FZ$7,2),"")</f>
        <v/>
      </c>
      <c r="Q22" s="1">
        <f t="shared" si="12"/>
        <v>0</v>
      </c>
      <c r="R22" s="1" t="str">
        <f t="shared" si="2"/>
        <v/>
      </c>
      <c r="S22" s="1">
        <f t="shared" si="13"/>
        <v>0</v>
      </c>
      <c r="T22" s="1">
        <f t="shared" si="14"/>
        <v>0</v>
      </c>
      <c r="U22" s="1">
        <f t="shared" si="14"/>
        <v>0</v>
      </c>
      <c r="V22" s="1">
        <f t="shared" si="14"/>
        <v>0</v>
      </c>
      <c r="W22" s="1">
        <f t="shared" si="15"/>
        <v>0</v>
      </c>
      <c r="X22" s="1">
        <f t="shared" si="16"/>
        <v>0</v>
      </c>
      <c r="Y22" s="1">
        <f t="shared" si="3"/>
        <v>0</v>
      </c>
      <c r="Z22" s="1">
        <f t="shared" si="17"/>
        <v>0</v>
      </c>
      <c r="AA22" s="1">
        <f t="shared" si="18"/>
        <v>0</v>
      </c>
      <c r="AB22" s="1">
        <f t="shared" si="19"/>
        <v>0</v>
      </c>
      <c r="AC22" s="1">
        <f t="shared" si="20"/>
        <v>0</v>
      </c>
      <c r="AD22" s="1">
        <f t="shared" si="4"/>
        <v>0</v>
      </c>
      <c r="AE22" s="1">
        <f t="shared" si="5"/>
        <v>0</v>
      </c>
      <c r="AF22" s="1">
        <f t="shared" si="21"/>
        <v>0</v>
      </c>
      <c r="AG22" s="1">
        <f t="shared" si="22"/>
        <v>0</v>
      </c>
      <c r="AH22" s="1">
        <f t="shared" si="23"/>
        <v>0</v>
      </c>
      <c r="AI22" s="1">
        <f t="shared" si="24"/>
        <v>0</v>
      </c>
      <c r="AJ22" s="1">
        <f t="shared" si="25"/>
        <v>0</v>
      </c>
      <c r="AK22" s="1">
        <f t="shared" si="26"/>
        <v>0</v>
      </c>
      <c r="AL22" s="1">
        <f>IF(OR($D22=1,BC22=1),0,IF($G22=DATA!$GA$38,DATA!$GC$38,IF($G22=DATA!$GA$39,DATA!$GC$39,0)))</f>
        <v>0</v>
      </c>
      <c r="AM22" s="1">
        <f>IF(OR($D22=1,BC22=1),0,IF($G22=DATA!$GA$40,DATA!$GC$40,IF($G22=DATA!$GA$41,DATA!$GC$41,0)))</f>
        <v>0</v>
      </c>
      <c r="AN22" s="1">
        <f>IF(AND(CA22=1,CD22=""),0,IF(OR($D22=1,BC22=1),0,IF($X$5&lt;&gt;0,0,LOOKUP(AE22,{0,5000,6000,10000,15000,20000},{0,60,80,100,150,200}))))</f>
        <v>0</v>
      </c>
      <c r="AO22" s="1">
        <f>IFERROR(IF(AND(CA22=1,CD22=""),0,IF(OR($D22=1,BC22=1),0,INDEX(DATA!$CE$11:$CE$22,MATCH(TRUNC(Table!G22,0),DATA!$CD$11:$CD$22,0),1))),0)</f>
        <v>0</v>
      </c>
      <c r="AP22" s="1">
        <f t="shared" si="6"/>
        <v>0</v>
      </c>
      <c r="AT22">
        <f>IF(OR($D22=1,BC22=1),0,IF($G22=DATA!$GA$42,DATA!$GC$42,0))</f>
        <v>0</v>
      </c>
      <c r="AV22" t="str">
        <f>IFERROR(VLOOKUP(G22,DATA!$FZ$46:$GA$50,2),"")</f>
        <v/>
      </c>
      <c r="AW22" s="1">
        <f>IFERROR(IF(LEFT(K22,3)=$N$2,0,IF(G22&gt;=DATA!$FZ$46,ROUND(Table!O22*AV22%,0),0)),0)</f>
        <v>0</v>
      </c>
      <c r="AX22" s="398">
        <f t="shared" si="27"/>
        <v>0</v>
      </c>
      <c r="AY22" s="398">
        <f t="shared" si="38"/>
        <v>0</v>
      </c>
      <c r="AZ22" s="398">
        <f t="shared" si="39"/>
        <v>0</v>
      </c>
      <c r="BA22" s="398">
        <f t="shared" si="28"/>
        <v>0</v>
      </c>
      <c r="BC22" s="23" t="str">
        <f t="shared" si="7"/>
        <v/>
      </c>
      <c r="BF22" s="8">
        <f>IFERROR(INDEX(DATA!$FZ$11:$GB$14,MATCH(Table!N22,DATA!$FY$11:$FY$14,1),INDEX(DATA!$GA$26:$GA$29,MATCH(G22,DATA!$FY$26:$FY$29,1),1)),0)</f>
        <v>0</v>
      </c>
      <c r="BG22" s="8">
        <f>IF(G22&lt;$BO$5,IFERROR(INDEX($BP$8:$BR$13,MATCH(Table!N22,$BO$8:$BO$13,1),INDEX(DATA!$GC$26:$GC$29,MATCH(G22,DATA!$FY$26:$FY$29,1),1)),0),IFERROR(INDEX(DATA!$FZ$18:$GB$23,MATCH(Table!N22,DATA!$FY$18:$FY$23,1),INDEX(DATA!$GC$26:$GC$29,MATCH(G22,DATA!$FY$26:$FY$29,1),1)),0))</f>
        <v>0</v>
      </c>
      <c r="BH22" s="425">
        <f>IFERROR(MIN(ROUND(N22*INDEX(DATA!$GB$26:$GB$29,MATCH(Table!G22,DATA!$FY$26:$FY$29,1),1),0)*1/100,2000),0)</f>
        <v>0</v>
      </c>
      <c r="BI22" s="409">
        <f>IFERROR(LOOKUP(Table!G22,DATA!$FY$26:$FY$29,DATA!$FZ$26:$FZ$29),0)</f>
        <v>12</v>
      </c>
      <c r="BJ22" s="409">
        <f>IFERROR(LOOKUP(Table!G22,DATA!$FY$26:$FY$29,DATA!$GD$26:$GD$29),0)</f>
        <v>0</v>
      </c>
      <c r="BK22" s="409">
        <f>IFERROR(LOOKUP(Table!G22,DATA!$FY$26:$FY$29,DATA!$GE$26:$GE$29),0)</f>
        <v>0</v>
      </c>
      <c r="BL22">
        <f>IFERROR(LOOKUP(Table!G22,DATA!$FY$26:$FY$29,DATA!$GF$26:$GF$29),0)</f>
        <v>0</v>
      </c>
      <c r="BN22">
        <f>IFERROR(INDEX(DATA!$CT$31:$CT$35,MATCH(R22,DATA!$CS$31:$CS$35,0),1),0)</f>
        <v>0</v>
      </c>
      <c r="BV22" s="8">
        <f>SUMIFS(DATA!$BM$4:$BM19,DATA!$BK$4:$BK19,$BV$5,DATA!$BL$4:$BL19,Table!G22)</f>
        <v>0</v>
      </c>
      <c r="BW22" s="8">
        <f t="shared" si="29"/>
        <v>0</v>
      </c>
      <c r="CA22" s="11">
        <f t="shared" si="30"/>
        <v>2</v>
      </c>
      <c r="CB22" s="11" t="str">
        <f t="shared" si="31"/>
        <v/>
      </c>
      <c r="CC22" s="11" t="str">
        <f t="shared" si="32"/>
        <v/>
      </c>
      <c r="CD22" s="23" t="str">
        <f t="shared" si="33"/>
        <v/>
      </c>
      <c r="CE22" s="1" t="str">
        <f t="shared" si="34"/>
        <v/>
      </c>
      <c r="CF22">
        <f>IFERROR(COUNTIF($CE$7:$CE22,"&gt;="&amp;CE22),0)</f>
        <v>0</v>
      </c>
      <c r="CH22" s="1" t="e">
        <f t="shared" si="35"/>
        <v>#NUM!</v>
      </c>
      <c r="CI22" s="1" t="str">
        <f t="shared" si="36"/>
        <v/>
      </c>
    </row>
    <row r="23" spans="1:87" x14ac:dyDescent="0.25">
      <c r="A23" s="1" t="str">
        <f t="shared" si="8"/>
        <v/>
      </c>
      <c r="B23" s="26" t="str">
        <f t="shared" si="9"/>
        <v/>
      </c>
      <c r="D23">
        <f t="shared" si="10"/>
        <v>1</v>
      </c>
      <c r="E23">
        <v>17</v>
      </c>
      <c r="F23">
        <f t="shared" si="37"/>
        <v>17</v>
      </c>
      <c r="G23" s="5" t="str">
        <f>IFERROR(INDEX(DATA!$DY$4:$DY$55,Table!F23,1),"")</f>
        <v/>
      </c>
      <c r="H23" s="5" t="str">
        <f>IFERROR(INDEX(DATA!$DL$4:$DL$55,Table!F23,1),"")</f>
        <v/>
      </c>
      <c r="I23" s="5" t="str">
        <f t="shared" si="11"/>
        <v/>
      </c>
      <c r="J23" s="8">
        <f>IFERROR(INDEX(DATA!$ED$4:$ED$55,Table!F23,1),"")</f>
        <v>0</v>
      </c>
      <c r="K23" s="1" t="str">
        <f>IFERROR(INDEX(DATA!$DJ$4:$DJ$55,Table!F23,1),"")</f>
        <v/>
      </c>
      <c r="L23" s="1" t="str">
        <f>IFERROR(INDEX(DATA!$EG$4:$EG$55,Table!F23,1),"")</f>
        <v/>
      </c>
      <c r="M23" s="1" t="str">
        <f>IFERROR(INDEX(DATA!$EH$4:$EH$55,Table!F23,1),"")</f>
        <v/>
      </c>
      <c r="N23" s="1" t="str">
        <f>IFERROR(IF(G23="","",INDEX(DATA!$DT$4:$DT$55,Table!F23,1)),"")</f>
        <v/>
      </c>
      <c r="O23" s="1" t="str">
        <f>IFERROR(INDEX(DATA!$EF$4:$EF$55,Table!F23,1),0)</f>
        <v/>
      </c>
      <c r="P23" s="1" t="str">
        <f>IFERROR(VLOOKUP(G23,DATA!$FY$3:$FZ$7,2),"")</f>
        <v/>
      </c>
      <c r="Q23" s="1">
        <f t="shared" si="12"/>
        <v>0</v>
      </c>
      <c r="R23" s="1" t="str">
        <f t="shared" si="2"/>
        <v/>
      </c>
      <c r="S23" s="1">
        <f t="shared" si="13"/>
        <v>0</v>
      </c>
      <c r="T23" s="1">
        <f t="shared" si="14"/>
        <v>0</v>
      </c>
      <c r="U23" s="1">
        <f t="shared" si="14"/>
        <v>0</v>
      </c>
      <c r="V23" s="1">
        <f t="shared" si="14"/>
        <v>0</v>
      </c>
      <c r="W23" s="1">
        <f t="shared" si="15"/>
        <v>0</v>
      </c>
      <c r="X23" s="1">
        <f t="shared" si="16"/>
        <v>0</v>
      </c>
      <c r="Y23" s="1">
        <f t="shared" si="3"/>
        <v>0</v>
      </c>
      <c r="Z23" s="1">
        <f t="shared" si="17"/>
        <v>0</v>
      </c>
      <c r="AA23" s="1">
        <f t="shared" si="18"/>
        <v>0</v>
      </c>
      <c r="AB23" s="1">
        <f t="shared" si="19"/>
        <v>0</v>
      </c>
      <c r="AC23" s="1">
        <f t="shared" si="20"/>
        <v>0</v>
      </c>
      <c r="AD23" s="1">
        <f t="shared" si="4"/>
        <v>0</v>
      </c>
      <c r="AE23" s="1">
        <f t="shared" si="5"/>
        <v>0</v>
      </c>
      <c r="AF23" s="1">
        <f t="shared" si="21"/>
        <v>0</v>
      </c>
      <c r="AG23" s="1">
        <f t="shared" si="22"/>
        <v>0</v>
      </c>
      <c r="AH23" s="1">
        <f t="shared" si="23"/>
        <v>0</v>
      </c>
      <c r="AI23" s="1">
        <f t="shared" si="24"/>
        <v>0</v>
      </c>
      <c r="AJ23" s="1">
        <f t="shared" si="25"/>
        <v>0</v>
      </c>
      <c r="AK23" s="1">
        <f t="shared" si="26"/>
        <v>0</v>
      </c>
      <c r="AL23" s="1">
        <f>IF(OR($D23=1,BC23=1),0,IF($G23=DATA!$GA$38,DATA!$GC$38,IF($G23=DATA!$GA$39,DATA!$GC$39,0)))</f>
        <v>0</v>
      </c>
      <c r="AM23" s="1">
        <f>IF(OR($D23=1,BC23=1),0,IF($G23=DATA!$GA$40,DATA!$GC$40,IF($G23=DATA!$GA$41,DATA!$GC$41,0)))</f>
        <v>0</v>
      </c>
      <c r="AN23" s="1">
        <f>IF(AND(CA23=1,CD23=""),0,IF(OR($D23=1,BC23=1),0,IF($X$5&lt;&gt;0,0,LOOKUP(AE23,{0,5000,6000,10000,15000,20000},{0,60,80,100,150,200}))))</f>
        <v>0</v>
      </c>
      <c r="AO23" s="1">
        <f>IFERROR(IF(AND(CA23=1,CD23=""),0,IF(OR($D23=1,BC23=1),0,INDEX(DATA!$CE$11:$CE$22,MATCH(TRUNC(Table!G23,0),DATA!$CD$11:$CD$22,0),1))),0)</f>
        <v>0</v>
      </c>
      <c r="AP23" s="1">
        <f t="shared" si="6"/>
        <v>0</v>
      </c>
      <c r="AT23">
        <f>IF(OR($D23=1,BC23=1),0,IF($G23=DATA!$GA$42,DATA!$GC$42,0))</f>
        <v>0</v>
      </c>
      <c r="AV23" t="str">
        <f>IFERROR(VLOOKUP(G23,DATA!$FZ$46:$GA$50,2),"")</f>
        <v/>
      </c>
      <c r="AW23" s="1">
        <f>IFERROR(IF(LEFT(K23,3)=$N$2,0,IF(G23&gt;=DATA!$FZ$46,ROUND(Table!O23*AV23%,0),0)),0)</f>
        <v>0</v>
      </c>
      <c r="AX23" s="398">
        <f t="shared" si="27"/>
        <v>0</v>
      </c>
      <c r="AY23" s="398">
        <f t="shared" si="38"/>
        <v>0</v>
      </c>
      <c r="AZ23" s="398">
        <f t="shared" si="39"/>
        <v>0</v>
      </c>
      <c r="BA23" s="398">
        <f t="shared" si="28"/>
        <v>0</v>
      </c>
      <c r="BC23" s="23" t="str">
        <f t="shared" si="7"/>
        <v/>
      </c>
      <c r="BF23" s="8">
        <f>IFERROR(INDEX(DATA!$FZ$11:$GB$14,MATCH(Table!N23,DATA!$FY$11:$FY$14,1),INDEX(DATA!$GA$26:$GA$29,MATCH(G23,DATA!$FY$26:$FY$29,1),1)),0)</f>
        <v>0</v>
      </c>
      <c r="BG23" s="8">
        <f>IF(G23&lt;$BO$5,IFERROR(INDEX($BP$8:$BR$13,MATCH(Table!N23,$BO$8:$BO$13,1),INDEX(DATA!$GC$26:$GC$29,MATCH(G23,DATA!$FY$26:$FY$29,1),1)),0),IFERROR(INDEX(DATA!$FZ$18:$GB$23,MATCH(Table!N23,DATA!$FY$18:$FY$23,1),INDEX(DATA!$GC$26:$GC$29,MATCH(G23,DATA!$FY$26:$FY$29,1),1)),0))</f>
        <v>0</v>
      </c>
      <c r="BH23" s="425">
        <f>IFERROR(MIN(ROUND(N23*INDEX(DATA!$GB$26:$GB$29,MATCH(Table!G23,DATA!$FY$26:$FY$29,1),1),0)*1/100,2000),0)</f>
        <v>0</v>
      </c>
      <c r="BI23" s="409">
        <f>IFERROR(LOOKUP(Table!G23,DATA!$FY$26:$FY$29,DATA!$FZ$26:$FZ$29),0)</f>
        <v>12</v>
      </c>
      <c r="BJ23" s="409">
        <f>IFERROR(LOOKUP(Table!G23,DATA!$FY$26:$FY$29,DATA!$GD$26:$GD$29),0)</f>
        <v>0</v>
      </c>
      <c r="BK23" s="409">
        <f>IFERROR(LOOKUP(Table!G23,DATA!$FY$26:$FY$29,DATA!$GE$26:$GE$29),0)</f>
        <v>0</v>
      </c>
      <c r="BL23">
        <f>IFERROR(LOOKUP(Table!G23,DATA!$FY$26:$FY$29,DATA!$GF$26:$GF$29),0)</f>
        <v>0</v>
      </c>
      <c r="BN23">
        <f>IFERROR(INDEX(DATA!$CT$31:$CT$35,MATCH(R23,DATA!$CS$31:$CS$35,0),1),0)</f>
        <v>0</v>
      </c>
      <c r="BV23" s="8">
        <f>SUMIFS(DATA!$BM$4:$BM20,DATA!$BK$4:$BK20,$BV$5,DATA!$BL$4:$BL20,Table!G23)</f>
        <v>0</v>
      </c>
      <c r="BW23" s="8">
        <f t="shared" si="29"/>
        <v>0</v>
      </c>
      <c r="CA23" s="11">
        <f t="shared" si="30"/>
        <v>2</v>
      </c>
      <c r="CB23" s="11" t="str">
        <f t="shared" si="31"/>
        <v/>
      </c>
      <c r="CC23" s="11" t="str">
        <f t="shared" si="32"/>
        <v/>
      </c>
      <c r="CD23" s="23" t="str">
        <f t="shared" si="33"/>
        <v/>
      </c>
      <c r="CE23" s="1" t="str">
        <f t="shared" si="34"/>
        <v/>
      </c>
      <c r="CF23">
        <f>IFERROR(COUNTIF($CE$7:$CE23,"&gt;="&amp;CE23),0)</f>
        <v>0</v>
      </c>
      <c r="CH23" s="1" t="e">
        <f t="shared" si="35"/>
        <v>#NUM!</v>
      </c>
      <c r="CI23" s="1" t="str">
        <f t="shared" si="36"/>
        <v/>
      </c>
    </row>
    <row r="24" spans="1:87" x14ac:dyDescent="0.25">
      <c r="A24" s="1" t="str">
        <f t="shared" si="8"/>
        <v/>
      </c>
      <c r="B24" s="26" t="str">
        <f t="shared" si="9"/>
        <v/>
      </c>
      <c r="D24">
        <f t="shared" si="10"/>
        <v>1</v>
      </c>
      <c r="E24">
        <v>18</v>
      </c>
      <c r="F24">
        <f t="shared" si="37"/>
        <v>18</v>
      </c>
      <c r="G24" s="5" t="str">
        <f>IFERROR(INDEX(DATA!$DY$4:$DY$55,Table!F24,1),"")</f>
        <v/>
      </c>
      <c r="H24" s="5" t="str">
        <f>IFERROR(INDEX(DATA!$DL$4:$DL$55,Table!F24,1),"")</f>
        <v/>
      </c>
      <c r="I24" s="5" t="str">
        <f t="shared" si="11"/>
        <v/>
      </c>
      <c r="J24" s="8">
        <f>IFERROR(INDEX(DATA!$ED$4:$ED$55,Table!F24,1),"")</f>
        <v>0</v>
      </c>
      <c r="K24" s="1" t="str">
        <f>IFERROR(INDEX(DATA!$DJ$4:$DJ$55,Table!F24,1),"")</f>
        <v/>
      </c>
      <c r="L24" s="1" t="str">
        <f>IFERROR(INDEX(DATA!$EG$4:$EG$55,Table!F24,1),"")</f>
        <v/>
      </c>
      <c r="M24" s="1" t="str">
        <f>IFERROR(INDEX(DATA!$EH$4:$EH$55,Table!F24,1),"")</f>
        <v/>
      </c>
      <c r="N24" s="1" t="str">
        <f>IFERROR(IF(G24="","",INDEX(DATA!$DT$4:$DT$55,Table!F24,1)),"")</f>
        <v/>
      </c>
      <c r="O24" s="1" t="str">
        <f>IFERROR(INDEX(DATA!$EF$4:$EF$55,Table!F24,1),0)</f>
        <v/>
      </c>
      <c r="P24" s="1" t="str">
        <f>IFERROR(VLOOKUP(G24,DATA!$FY$3:$FZ$7,2),"")</f>
        <v/>
      </c>
      <c r="Q24" s="1">
        <f t="shared" si="12"/>
        <v>0</v>
      </c>
      <c r="R24" s="1" t="str">
        <f t="shared" si="2"/>
        <v/>
      </c>
      <c r="S24" s="1">
        <f t="shared" si="13"/>
        <v>0</v>
      </c>
      <c r="T24" s="1">
        <f t="shared" si="14"/>
        <v>0</v>
      </c>
      <c r="U24" s="1">
        <f t="shared" si="14"/>
        <v>0</v>
      </c>
      <c r="V24" s="1">
        <f t="shared" si="14"/>
        <v>0</v>
      </c>
      <c r="W24" s="1">
        <f t="shared" si="15"/>
        <v>0</v>
      </c>
      <c r="X24" s="1">
        <f t="shared" si="16"/>
        <v>0</v>
      </c>
      <c r="Y24" s="1">
        <f t="shared" si="3"/>
        <v>0</v>
      </c>
      <c r="Z24" s="1">
        <f t="shared" si="17"/>
        <v>0</v>
      </c>
      <c r="AA24" s="1">
        <f t="shared" si="18"/>
        <v>0</v>
      </c>
      <c r="AB24" s="1">
        <f t="shared" si="19"/>
        <v>0</v>
      </c>
      <c r="AC24" s="1">
        <f t="shared" si="20"/>
        <v>0</v>
      </c>
      <c r="AD24" s="1">
        <f t="shared" si="4"/>
        <v>0</v>
      </c>
      <c r="AE24" s="1">
        <f t="shared" si="5"/>
        <v>0</v>
      </c>
      <c r="AF24" s="1">
        <f t="shared" si="21"/>
        <v>0</v>
      </c>
      <c r="AG24" s="1">
        <f t="shared" si="22"/>
        <v>0</v>
      </c>
      <c r="AH24" s="1">
        <f t="shared" si="23"/>
        <v>0</v>
      </c>
      <c r="AI24" s="1">
        <f t="shared" si="24"/>
        <v>0</v>
      </c>
      <c r="AJ24" s="1">
        <f t="shared" si="25"/>
        <v>0</v>
      </c>
      <c r="AK24" s="1">
        <f t="shared" si="26"/>
        <v>0</v>
      </c>
      <c r="AL24" s="1">
        <f>IF(OR($D24=1,BC24=1),0,IF($G24=DATA!$GA$38,DATA!$GC$38,IF($G24=DATA!$GA$39,DATA!$GC$39,0)))</f>
        <v>0</v>
      </c>
      <c r="AM24" s="1">
        <f>IF(OR($D24=1,BC24=1),0,IF($G24=DATA!$GA$40,DATA!$GC$40,IF($G24=DATA!$GA$41,DATA!$GC$41,0)))</f>
        <v>0</v>
      </c>
      <c r="AN24" s="1">
        <f>IF(AND(CA24=1,CD24=""),0,IF(OR($D24=1,BC24=1),0,IF($X$5&lt;&gt;0,0,LOOKUP(AE24,{0,5000,6000,10000,15000,20000},{0,60,80,100,150,200}))))</f>
        <v>0</v>
      </c>
      <c r="AO24" s="1">
        <f>IFERROR(IF(AND(CA24=1,CD24=""),0,IF(OR($D24=1,BC24=1),0,INDEX(DATA!$CE$11:$CE$22,MATCH(TRUNC(Table!G24,0),DATA!$CD$11:$CD$22,0),1))),0)</f>
        <v>0</v>
      </c>
      <c r="AP24" s="1">
        <f t="shared" si="6"/>
        <v>0</v>
      </c>
      <c r="AT24">
        <f>IF(OR($D24=1,BC24=1),0,IF($G24=DATA!$GA$42,DATA!$GC$42,0))</f>
        <v>0</v>
      </c>
      <c r="AV24" t="str">
        <f>IFERROR(VLOOKUP(G24,DATA!$FZ$46:$GA$50,2),"")</f>
        <v/>
      </c>
      <c r="AW24" s="1">
        <f>IFERROR(IF(LEFT(K24,3)=$N$2,0,IF(G24&gt;=DATA!$FZ$46,ROUND(Table!O24*AV24%,0),0)),0)</f>
        <v>0</v>
      </c>
      <c r="AX24" s="398">
        <f t="shared" si="27"/>
        <v>0</v>
      </c>
      <c r="AY24" s="398">
        <f t="shared" si="38"/>
        <v>0</v>
      </c>
      <c r="AZ24" s="398">
        <f t="shared" si="39"/>
        <v>0</v>
      </c>
      <c r="BA24" s="398">
        <f t="shared" si="28"/>
        <v>0</v>
      </c>
      <c r="BC24" s="23" t="str">
        <f t="shared" si="7"/>
        <v/>
      </c>
      <c r="BF24" s="8">
        <f>IFERROR(INDEX(DATA!$FZ$11:$GB$14,MATCH(Table!N24,DATA!$FY$11:$FY$14,1),INDEX(DATA!$GA$26:$GA$29,MATCH(G24,DATA!$FY$26:$FY$29,1),1)),0)</f>
        <v>0</v>
      </c>
      <c r="BG24" s="8">
        <f>IF(G24&lt;$BO$5,IFERROR(INDEX($BP$8:$BR$13,MATCH(Table!N24,$BO$8:$BO$13,1),INDEX(DATA!$GC$26:$GC$29,MATCH(G24,DATA!$FY$26:$FY$29,1),1)),0),IFERROR(INDEX(DATA!$FZ$18:$GB$23,MATCH(Table!N24,DATA!$FY$18:$FY$23,1),INDEX(DATA!$GC$26:$GC$29,MATCH(G24,DATA!$FY$26:$FY$29,1),1)),0))</f>
        <v>0</v>
      </c>
      <c r="BH24" s="425">
        <f>IFERROR(MIN(ROUND(N24*INDEX(DATA!$GB$26:$GB$29,MATCH(Table!G24,DATA!$FY$26:$FY$29,1),1),0)*1/100,2000),0)</f>
        <v>0</v>
      </c>
      <c r="BI24" s="409">
        <f>IFERROR(LOOKUP(Table!G24,DATA!$FY$26:$FY$29,DATA!$FZ$26:$FZ$29),0)</f>
        <v>12</v>
      </c>
      <c r="BJ24" s="409">
        <f>IFERROR(LOOKUP(Table!G24,DATA!$FY$26:$FY$29,DATA!$GD$26:$GD$29),0)</f>
        <v>0</v>
      </c>
      <c r="BK24" s="409">
        <f>IFERROR(LOOKUP(Table!G24,DATA!$FY$26:$FY$29,DATA!$GE$26:$GE$29),0)</f>
        <v>0</v>
      </c>
      <c r="BL24">
        <f>IFERROR(LOOKUP(Table!G24,DATA!$FY$26:$FY$29,DATA!$GF$26:$GF$29),0)</f>
        <v>0</v>
      </c>
      <c r="BN24">
        <f>IFERROR(INDEX(DATA!$CT$31:$CT$35,MATCH(R24,DATA!$CS$31:$CS$35,0),1),0)</f>
        <v>0</v>
      </c>
      <c r="BV24" s="8">
        <f>SUMIFS(DATA!$BM$4:$BM21,DATA!$BK$4:$BK21,$BV$5,DATA!$BL$4:$BL21,Table!G24)</f>
        <v>0</v>
      </c>
      <c r="BW24" s="8">
        <f t="shared" si="29"/>
        <v>0</v>
      </c>
      <c r="CA24" s="11">
        <f t="shared" si="30"/>
        <v>2</v>
      </c>
      <c r="CB24" s="11" t="str">
        <f t="shared" si="31"/>
        <v/>
      </c>
      <c r="CC24" s="11" t="str">
        <f t="shared" si="32"/>
        <v/>
      </c>
      <c r="CD24" s="23" t="str">
        <f t="shared" si="33"/>
        <v/>
      </c>
      <c r="CE24" s="1" t="str">
        <f t="shared" si="34"/>
        <v/>
      </c>
      <c r="CF24">
        <f>IFERROR(COUNTIF($CE$7:$CE24,"&gt;="&amp;CE24),0)</f>
        <v>0</v>
      </c>
      <c r="CH24" s="1" t="e">
        <f t="shared" si="35"/>
        <v>#NUM!</v>
      </c>
      <c r="CI24" s="1" t="str">
        <f t="shared" si="36"/>
        <v/>
      </c>
    </row>
    <row r="25" spans="1:87" x14ac:dyDescent="0.25">
      <c r="A25" s="1" t="str">
        <f t="shared" si="8"/>
        <v/>
      </c>
      <c r="B25" s="26" t="str">
        <f t="shared" si="9"/>
        <v/>
      </c>
      <c r="D25">
        <f t="shared" si="10"/>
        <v>1</v>
      </c>
      <c r="E25">
        <v>19</v>
      </c>
      <c r="F25">
        <f>F24+1</f>
        <v>19</v>
      </c>
      <c r="H25" t="str">
        <f>""</f>
        <v/>
      </c>
      <c r="K25" t="str">
        <f>""</f>
        <v/>
      </c>
    </row>
    <row r="26" spans="1:87" x14ac:dyDescent="0.25">
      <c r="A26" s="1" t="str">
        <f>IF(I26="","",E26)</f>
        <v/>
      </c>
      <c r="B26" s="26" t="str">
        <f t="shared" si="9"/>
        <v/>
      </c>
      <c r="D26">
        <f>IF(OR(LEFT($K26,3)=$N$2,$K26=$N$3,$K26=$N$4,$G26=""),1,2)</f>
        <v>1</v>
      </c>
      <c r="E26">
        <v>20</v>
      </c>
      <c r="F26">
        <f t="shared" si="37"/>
        <v>20</v>
      </c>
      <c r="I26" s="23" t="str">
        <f>IF(NOT(DATA!AR43="N.A"),DATA!AT43,"")</f>
        <v/>
      </c>
      <c r="K26" t="str">
        <f>""</f>
        <v/>
      </c>
      <c r="Q26" s="1">
        <f>IF(I26="",0,DATA!BD43)</f>
        <v>0</v>
      </c>
      <c r="AF26" s="1">
        <f>IF(I26=0,0,IF(NOT(AF$6="CPS"),Q26,DATA!BA43))</f>
        <v>0</v>
      </c>
    </row>
    <row r="27" spans="1:87" x14ac:dyDescent="0.25">
      <c r="A27" s="1" t="str">
        <f t="shared" ref="A27:A35" si="40">IF(I27="","",E27)</f>
        <v/>
      </c>
      <c r="B27" s="26" t="str">
        <f t="shared" si="9"/>
        <v/>
      </c>
      <c r="D27">
        <f t="shared" ref="D27:D35" si="41">IF(OR(LEFT($K27,3)=$N$2,$K27=$N$3,$K27=$N$4,$G27=""),1,2)</f>
        <v>1</v>
      </c>
      <c r="E27">
        <v>21</v>
      </c>
      <c r="F27">
        <f>F26+1</f>
        <v>21</v>
      </c>
      <c r="I27" s="23" t="str">
        <f>IF(NOT(DATA!AR44="N.A"),DATA!AT44,"")</f>
        <v/>
      </c>
      <c r="K27" t="str">
        <f>""</f>
        <v/>
      </c>
      <c r="Q27" s="1">
        <f>IF(I27="",0,DATA!BD44)</f>
        <v>0</v>
      </c>
      <c r="AF27" s="1">
        <f>IF(I27=0,0,IF(NOT(AF$6="CPS"),Q27,DATA!BA44))</f>
        <v>0</v>
      </c>
    </row>
    <row r="28" spans="1:87" x14ac:dyDescent="0.25">
      <c r="A28" s="1" t="str">
        <f t="shared" si="40"/>
        <v/>
      </c>
      <c r="B28" s="26" t="str">
        <f t="shared" si="9"/>
        <v/>
      </c>
      <c r="D28">
        <f t="shared" si="41"/>
        <v>1</v>
      </c>
      <c r="E28">
        <v>22</v>
      </c>
      <c r="F28">
        <f t="shared" ref="F28:F35" si="42">F27+1</f>
        <v>22</v>
      </c>
      <c r="I28" s="23" t="str">
        <f>IF(NOT(DATA!AR45="N.A"),DATA!AT45,"")</f>
        <v/>
      </c>
      <c r="K28" t="str">
        <f>""</f>
        <v/>
      </c>
      <c r="Q28" s="1">
        <f>IF(I28="",0,DATA!BD45)</f>
        <v>0</v>
      </c>
      <c r="AF28" s="1">
        <f>IF(I28=0,0,IF(NOT(AF$6="CPS"),Q28,DATA!BA45))</f>
        <v>0</v>
      </c>
    </row>
    <row r="29" spans="1:87" x14ac:dyDescent="0.25">
      <c r="A29" s="1" t="str">
        <f t="shared" si="40"/>
        <v/>
      </c>
      <c r="B29" s="26" t="str">
        <f t="shared" si="9"/>
        <v/>
      </c>
      <c r="D29">
        <f t="shared" si="41"/>
        <v>1</v>
      </c>
      <c r="E29">
        <v>23</v>
      </c>
      <c r="F29">
        <f t="shared" si="42"/>
        <v>23</v>
      </c>
      <c r="I29" s="23" t="str">
        <f>IF(NOT(DATA!AR46="N.A"),DATA!AT46,"")</f>
        <v/>
      </c>
      <c r="K29" t="str">
        <f>""</f>
        <v/>
      </c>
      <c r="Q29" s="1">
        <f>IF(I29="",0,DATA!BD46)</f>
        <v>0</v>
      </c>
      <c r="AF29" s="1">
        <f>IF(I29=0,0,IF(NOT(AF$6="CPS"),Q29,DATA!BA46))</f>
        <v>0</v>
      </c>
    </row>
    <row r="30" spans="1:87" x14ac:dyDescent="0.25">
      <c r="A30" s="1" t="str">
        <f t="shared" si="40"/>
        <v/>
      </c>
      <c r="B30" s="26" t="str">
        <f t="shared" si="9"/>
        <v/>
      </c>
      <c r="D30">
        <f t="shared" si="41"/>
        <v>1</v>
      </c>
      <c r="E30">
        <v>24</v>
      </c>
      <c r="F30">
        <f t="shared" si="42"/>
        <v>24</v>
      </c>
      <c r="I30" s="26" t="str">
        <f>DATA!AR48&amp;""</f>
        <v/>
      </c>
      <c r="K30" t="str">
        <f>""</f>
        <v/>
      </c>
      <c r="Q30" s="26">
        <f>IFERROR(IF(I30="",0,IF(DATA!L41&gt;=0,DATA!L41,DATA!BD48)),0)</f>
        <v>0</v>
      </c>
      <c r="AF30" s="26">
        <f>IFERROR(IF(I30=0,0,IF(NOT(AF$6="CPS"),IF(DATA!M41&gt;=0,DATA!M41,Q30),IF(DATA!N41&gt;=0,DATA!N41,DATA!BA48))),0)</f>
        <v>0</v>
      </c>
    </row>
    <row r="31" spans="1:87" x14ac:dyDescent="0.25">
      <c r="A31" s="1" t="str">
        <f t="shared" si="40"/>
        <v/>
      </c>
      <c r="B31" s="26" t="str">
        <f t="shared" si="9"/>
        <v/>
      </c>
      <c r="D31">
        <f t="shared" si="41"/>
        <v>1</v>
      </c>
      <c r="E31">
        <v>25</v>
      </c>
      <c r="F31">
        <f t="shared" si="42"/>
        <v>25</v>
      </c>
      <c r="I31" s="26" t="str">
        <f>DATA!AR49&amp;""</f>
        <v/>
      </c>
      <c r="K31" t="str">
        <f>""</f>
        <v/>
      </c>
      <c r="Q31" s="26">
        <f>IFERROR(IF(I31="",0,IF(DATA!L42&gt;=0,DATA!L42,DATA!BD49)),0)</f>
        <v>0</v>
      </c>
      <c r="AF31" s="26">
        <f>IFERROR(IF(I31=0,0,IF(NOT(AF$6="CPS"),IF(DATA!M42&gt;=0,DATA!M42,Q31),IF(DATA!N42&gt;=0,DATA!N42,DATA!BA49))),0)</f>
        <v>0</v>
      </c>
    </row>
    <row r="32" spans="1:87" x14ac:dyDescent="0.25">
      <c r="A32" s="1" t="str">
        <f>IF(I32="","",E32)</f>
        <v/>
      </c>
      <c r="B32" s="26" t="str">
        <f t="shared" si="9"/>
        <v/>
      </c>
      <c r="D32">
        <f t="shared" si="41"/>
        <v>1</v>
      </c>
      <c r="E32">
        <v>26</v>
      </c>
      <c r="F32">
        <f t="shared" si="42"/>
        <v>26</v>
      </c>
      <c r="I32" s="475" t="str">
        <f>IF(SUM(DATA!$C$38:$C$44)=0,"","RPS 2020 Arrears")</f>
        <v/>
      </c>
      <c r="K32" s="476" t="str">
        <f>""</f>
        <v/>
      </c>
      <c r="O32">
        <f>IF(DATA!C38="",0,DATA!C38*$I$38)</f>
        <v>0</v>
      </c>
      <c r="Q32">
        <f>IF(DATA!C39="",0,DATA!C39*$I$38)</f>
        <v>0</v>
      </c>
      <c r="S32">
        <f>IF(DATA!C40="",0,DATA!C40*$I$38)</f>
        <v>0</v>
      </c>
      <c r="AA32">
        <f>IF(DATA!C41="",0,DATA!C41*$I$38)</f>
        <v>0</v>
      </c>
      <c r="AD32">
        <f>IF(DATA!C42="",0,DATA!C42*$I$38)</f>
        <v>0</v>
      </c>
      <c r="AF32">
        <f>IF(DATA!C43="",0,DATA!C43*$I$38)</f>
        <v>0</v>
      </c>
      <c r="AJ32">
        <f>IF(DATA!C44="",0,DATA!C44*$I$38)</f>
        <v>0</v>
      </c>
    </row>
    <row r="33" spans="1:36" x14ac:dyDescent="0.25">
      <c r="A33" s="1" t="str">
        <f t="shared" si="40"/>
        <v/>
      </c>
      <c r="B33" s="26" t="str">
        <f t="shared" si="9"/>
        <v/>
      </c>
      <c r="D33">
        <f t="shared" si="41"/>
        <v>1</v>
      </c>
      <c r="E33">
        <v>27</v>
      </c>
      <c r="F33">
        <f t="shared" si="42"/>
        <v>27</v>
      </c>
      <c r="I33" s="475" t="str">
        <f>IF(DATA!D37="","",IF(SUM(DATA!$D$38:$D$44)=0,"",DATA!D37&amp;""))</f>
        <v/>
      </c>
      <c r="K33" s="476" t="str">
        <f>""</f>
        <v/>
      </c>
      <c r="O33">
        <f>IF(DATA!D38="",0,DATA!D38)</f>
        <v>0</v>
      </c>
      <c r="Q33">
        <f>IF(DATA!D39="",0,DATA!D39)</f>
        <v>0</v>
      </c>
      <c r="S33">
        <f>IF(DATA!D40="",0,DATA!D40)</f>
        <v>0</v>
      </c>
      <c r="AA33">
        <f>IF(DATA!D41="",0,DATA!D41)</f>
        <v>0</v>
      </c>
      <c r="AD33">
        <f>IF(DATA!D42="",0,DATA!D42)</f>
        <v>0</v>
      </c>
      <c r="AF33">
        <f>IF(DATA!D43="",0,DATA!D43)</f>
        <v>0</v>
      </c>
      <c r="AJ33">
        <f>IF(DATA!D44="",0,DATA!D44)</f>
        <v>0</v>
      </c>
    </row>
    <row r="34" spans="1:36" x14ac:dyDescent="0.25">
      <c r="A34" s="1" t="str">
        <f t="shared" si="40"/>
        <v/>
      </c>
      <c r="B34" s="26" t="str">
        <f t="shared" si="9"/>
        <v/>
      </c>
      <c r="D34">
        <f t="shared" si="41"/>
        <v>1</v>
      </c>
      <c r="E34">
        <v>28</v>
      </c>
      <c r="F34">
        <f t="shared" si="42"/>
        <v>28</v>
      </c>
      <c r="I34" s="475" t="str">
        <f>IF(DATA!E37="","",IF(SUM(DATA!$E$38:$E$44)=0,"",DATA!E37&amp;""))</f>
        <v/>
      </c>
      <c r="K34" s="476" t="str">
        <f>""</f>
        <v/>
      </c>
      <c r="O34">
        <f>IF(DATA!E38="",0,DATA!E38)</f>
        <v>0</v>
      </c>
      <c r="Q34">
        <f>IF(DATA!E39="",0,DATA!E39)</f>
        <v>0</v>
      </c>
      <c r="S34">
        <f>IF(DATA!E40="",0,DATA!E40)</f>
        <v>0</v>
      </c>
      <c r="AA34">
        <f>IF(DATA!E41="",0,DATA!E41)</f>
        <v>0</v>
      </c>
      <c r="AD34">
        <f>IF(DATA!E42="",0,DATA!E42)</f>
        <v>0</v>
      </c>
      <c r="AF34">
        <f>IF(DATA!E43="",0,DATA!E43)</f>
        <v>0</v>
      </c>
      <c r="AJ34">
        <f>IF(DATA!E44="",0,DATA!E44)</f>
        <v>0</v>
      </c>
    </row>
    <row r="35" spans="1:36" x14ac:dyDescent="0.25">
      <c r="A35" s="1" t="str">
        <f t="shared" si="40"/>
        <v/>
      </c>
      <c r="B35" s="26" t="str">
        <f t="shared" si="9"/>
        <v/>
      </c>
      <c r="C35" s="253"/>
      <c r="D35">
        <f t="shared" si="41"/>
        <v>1</v>
      </c>
      <c r="E35">
        <v>29</v>
      </c>
      <c r="F35">
        <f t="shared" si="42"/>
        <v>29</v>
      </c>
      <c r="I35" s="475" t="str">
        <f>IF(DATA!M11="","",DATA!K11)</f>
        <v/>
      </c>
      <c r="K35" s="476" t="str">
        <f>""</f>
        <v/>
      </c>
      <c r="AD35">
        <f>IF(I35="",0,DATA!M11)</f>
        <v>0</v>
      </c>
    </row>
    <row r="36" spans="1:36" x14ac:dyDescent="0.25">
      <c r="B36" s="253"/>
      <c r="C36" s="253"/>
      <c r="D36" s="253"/>
    </row>
    <row r="38" spans="1:36" x14ac:dyDescent="0.25">
      <c r="I38" s="11">
        <f>IF(DATA!$E$36="",1,DATA!$E$36)</f>
        <v>1</v>
      </c>
    </row>
  </sheetData>
  <phoneticPr fontId="7" type="noConversion"/>
  <pageMargins left="0.7" right="0.7" top="0.75" bottom="0.75" header="0.3" footer="0.3"/>
  <pageSetup orientation="portrait" r:id="rId1"/>
</worksheet>
</file>

<file path=xl/worksheets/sheet1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ECF623FC-1F24-4699-B995-5F5D3583A4B7}">
  <sheetPr codeName="Sheet4"/>
  <dimension ref="C2:U50"/>
  <sheetViews>
    <sheetView topLeftCell="G36" workbookViewId="0">
      <selection activeCell="R53" sqref="R53"/>
    </sheetView>
  </sheetViews>
  <sheetFormatPr defaultRowHeight="15" x14ac:dyDescent="0.25"/>
  <cols>
    <col min="1" max="1" width="3.7109375" customWidth="1"/>
    <col min="2" max="2" width="3.42578125" customWidth="1"/>
    <col min="3" max="3" width="6.28515625" customWidth="1"/>
    <col min="4" max="4" width="5.7109375" customWidth="1"/>
    <col min="5" max="5" width="10.140625" customWidth="1"/>
    <col min="6" max="6" width="50.28515625" customWidth="1"/>
    <col min="7" max="7" width="10.28515625" customWidth="1"/>
    <col min="9" max="13" width="1" customWidth="1"/>
    <col min="14" max="14" width="4.7109375" customWidth="1"/>
    <col min="15" max="15" width="9.28515625" customWidth="1"/>
    <col min="16" max="16" width="75.28515625" customWidth="1"/>
    <col min="17" max="17" width="9.28515625" bestFit="1" customWidth="1"/>
    <col min="24" max="24" width="9.28515625" bestFit="1" customWidth="1"/>
    <col min="27" max="27" width="7.5703125" customWidth="1"/>
    <col min="29" max="29" width="3" customWidth="1"/>
    <col min="30" max="30" width="31.85546875" customWidth="1"/>
    <col min="39" max="39" width="3.28515625" customWidth="1"/>
  </cols>
  <sheetData>
    <row r="2" spans="3:19" x14ac:dyDescent="0.25">
      <c r="G2" s="24" t="str">
        <f>DATA!D5&amp;" "&amp;DATA!E5&amp;"   "&amp;DATA!E6</f>
        <v>Sri/Smt xyz   SA Maths</v>
      </c>
    </row>
    <row r="6" spans="3:19" x14ac:dyDescent="0.25">
      <c r="G6" t="s">
        <v>147</v>
      </c>
      <c r="H6" t="s">
        <v>285</v>
      </c>
      <c r="Q6" t="s">
        <v>147</v>
      </c>
      <c r="R6" t="s">
        <v>148</v>
      </c>
      <c r="S6" t="s">
        <v>297</v>
      </c>
    </row>
    <row r="7" spans="3:19" x14ac:dyDescent="0.25">
      <c r="C7" s="1">
        <f>IFERROR(IF(MATCH(Sections!F7,DATA!$B$21:$B$26,0)&gt;0,D7,""),"")</f>
        <v>1</v>
      </c>
      <c r="D7">
        <v>1</v>
      </c>
      <c r="E7" t="s">
        <v>132</v>
      </c>
      <c r="F7" t="s">
        <v>133</v>
      </c>
      <c r="G7">
        <v>150000</v>
      </c>
      <c r="H7">
        <f>IFERROR(INDEX(DATA!$I$21:$I$25,MATCH(Sections!F7,DATA!$B$21:$B$26,0),1),0)</f>
        <v>0</v>
      </c>
      <c r="N7" s="1">
        <f>IFERROR(IF(MATCH(P7,DATA!$B$28:$B$33,0)&gt;0,O7,""),"")</f>
        <v>1</v>
      </c>
      <c r="O7">
        <v>1</v>
      </c>
      <c r="P7" t="s">
        <v>125</v>
      </c>
      <c r="Q7">
        <f>R7</f>
        <v>0</v>
      </c>
      <c r="R7">
        <f>IFERROR(INDEX(DATA!$I$28:$I$33,MATCH(Sections!P7,DATA!$B$28:$B$33,0),1),0)</f>
        <v>0</v>
      </c>
      <c r="S7">
        <f>MIN(Q7,R7)</f>
        <v>0</v>
      </c>
    </row>
    <row r="8" spans="3:19" x14ac:dyDescent="0.25">
      <c r="C8" s="1">
        <f>IFERROR(IF(MATCH(Sections!F8,DATA!$B$21:$B$26,0)&gt;0,D8,""),"")</f>
        <v>2</v>
      </c>
      <c r="D8">
        <v>2</v>
      </c>
      <c r="E8" t="s">
        <v>132</v>
      </c>
      <c r="F8" t="s">
        <v>120</v>
      </c>
      <c r="G8">
        <v>150000</v>
      </c>
      <c r="H8">
        <f>IFERROR(INDEX(DATA!$I$21:$I$25,MATCH(Sections!F8,DATA!$B$21:$B$26,0),1),0)</f>
        <v>0</v>
      </c>
      <c r="N8" s="1" t="str">
        <f>IFERROR(IF(S8&gt;=1,O8,IF(MATCH(P8,DATA!$B$28:$B$33,0)&gt;0,O8,"")),"")</f>
        <v/>
      </c>
      <c r="O8">
        <v>2</v>
      </c>
      <c r="P8" t="s">
        <v>126</v>
      </c>
      <c r="Q8">
        <v>75000</v>
      </c>
      <c r="R8">
        <f>IFERROR(IF(AND(NOT(DATA!L12="NA"),DATA!$M$12=DATA!$CL$7),Q8,INDEX(DATA!$I$28:$I$33,MATCH(Sections!P8,DATA!$B$28:$B$33,0),1)),0)</f>
        <v>0</v>
      </c>
      <c r="S8">
        <f t="shared" ref="S8:S27" si="0">MIN(Q8,R8)</f>
        <v>0</v>
      </c>
    </row>
    <row r="9" spans="3:19" x14ac:dyDescent="0.25">
      <c r="C9" s="1">
        <f>IFERROR(IF(MATCH(Sections!F9,DATA!$B$21:$B$26,0)&gt;0,D9,""),"")</f>
        <v>3</v>
      </c>
      <c r="D9">
        <v>3</v>
      </c>
      <c r="E9" t="s">
        <v>132</v>
      </c>
      <c r="F9" t="s">
        <v>134</v>
      </c>
      <c r="G9">
        <v>150000</v>
      </c>
      <c r="H9">
        <f>IFERROR(INDEX(DATA!$I$21:$I$25,MATCH(Sections!F9,DATA!$B$21:$B$26,0),1),0)</f>
        <v>0</v>
      </c>
      <c r="N9" s="1" t="str">
        <f>IFERROR(IF(S9&gt;=1,O9,IF(MATCH(P9,DATA!$B$28:$B$33,0)&gt;0,O9,"")),"")</f>
        <v/>
      </c>
      <c r="O9">
        <v>3</v>
      </c>
      <c r="P9" t="s">
        <v>127</v>
      </c>
      <c r="Q9">
        <v>125000</v>
      </c>
      <c r="R9">
        <f>IFERROR(IF(AND(NOT(DATA!L12="NA"),DATA!$M$12=DATA!$CL$8),Q9,INDEX(DATA!$I$28:$I$33,MATCH(Sections!P9,DATA!$B$28:$B$33,0),1)),0)</f>
        <v>0</v>
      </c>
      <c r="S9">
        <f t="shared" si="0"/>
        <v>0</v>
      </c>
    </row>
    <row r="10" spans="3:19" x14ac:dyDescent="0.25">
      <c r="C10" s="1">
        <f>IFERROR(IF(MATCH(Sections!F10,DATA!$B$21:$B$26,0)&gt;0,D10,""),"")</f>
        <v>4</v>
      </c>
      <c r="D10">
        <v>4</v>
      </c>
      <c r="E10" t="s">
        <v>132</v>
      </c>
      <c r="F10" t="s">
        <v>135</v>
      </c>
      <c r="G10">
        <v>150000</v>
      </c>
      <c r="H10">
        <f>IFERROR(INDEX(DATA!$I$21:$I$25,MATCH(Sections!F10,DATA!$B$21:$B$26,0),1)+'Statement(edit)'!$AA$29,0)</f>
        <v>0</v>
      </c>
      <c r="N10" s="1" t="str">
        <f>IFERROR(IF(MATCH(P10,DATA!$B$28:$B$33,0)&gt;0,O10,""),"")</f>
        <v/>
      </c>
      <c r="O10">
        <v>4</v>
      </c>
      <c r="P10" t="s">
        <v>149</v>
      </c>
      <c r="Q10">
        <v>75000</v>
      </c>
      <c r="R10">
        <f>IFERROR(INDEX(DATA!$I$28:$I$33,MATCH(Sections!P10,DATA!$B$28:$B$33,0),1),0)</f>
        <v>0</v>
      </c>
      <c r="S10">
        <f>MIN(Q10,R10)</f>
        <v>0</v>
      </c>
    </row>
    <row r="11" spans="3:19" x14ac:dyDescent="0.25">
      <c r="C11" s="1">
        <f>IFERROR(IF(MATCH(Sections!F11,DATA!$B$21:$B$26,0)&gt;0,D11,""),"")</f>
        <v>5</v>
      </c>
      <c r="D11">
        <v>5</v>
      </c>
      <c r="E11" t="s">
        <v>132</v>
      </c>
      <c r="F11" t="s">
        <v>119</v>
      </c>
      <c r="G11">
        <v>150000</v>
      </c>
      <c r="H11">
        <f>IFERROR(INDEX(DATA!$I$21:$I$25,MATCH(Sections!F11,DATA!$B$21:$B$26,0),1),0)</f>
        <v>0</v>
      </c>
      <c r="N11" s="1">
        <f>IFERROR(IF(MATCH(P11,DATA!$B$28:$B$33,0)&gt;0,O11,""),"")</f>
        <v>5</v>
      </c>
      <c r="O11">
        <v>5</v>
      </c>
      <c r="P11" t="s">
        <v>150</v>
      </c>
      <c r="Q11">
        <v>125000</v>
      </c>
      <c r="R11">
        <f>IFERROR(INDEX(DATA!$I$28:$I$33,MATCH(Sections!P11,DATA!$B$28:$B$33,0),1),0)</f>
        <v>0</v>
      </c>
      <c r="S11">
        <f t="shared" si="0"/>
        <v>0</v>
      </c>
    </row>
    <row r="12" spans="3:19" x14ac:dyDescent="0.25">
      <c r="C12" s="1" t="str">
        <f>IFERROR(IF(MATCH(Sections!F12,DATA!$B$21:$B$26,0)&gt;0,D12,""),"")</f>
        <v/>
      </c>
      <c r="D12">
        <v>6</v>
      </c>
      <c r="E12" t="s">
        <v>132</v>
      </c>
      <c r="F12" t="s">
        <v>136</v>
      </c>
      <c r="G12">
        <v>150000</v>
      </c>
      <c r="H12">
        <f>IFERROR(INDEX(DATA!$I$21:$I$25,MATCH(Sections!F12,DATA!$B$21:$B$26,0),1),0)</f>
        <v>0</v>
      </c>
      <c r="N12" s="1" t="str">
        <f>IFERROR(IF(MATCH(P12,DATA!$B$28:$B$33,0)&gt;0,O12,""),"")</f>
        <v/>
      </c>
      <c r="O12">
        <v>6</v>
      </c>
      <c r="P12" t="s">
        <v>151</v>
      </c>
      <c r="Q12">
        <v>50000</v>
      </c>
      <c r="R12">
        <f>IFERROR(INDEX(DATA!$I$28:$I$33,MATCH(Sections!P12,DATA!$B$28:$B$33,0),1),0)</f>
        <v>0</v>
      </c>
      <c r="S12">
        <f t="shared" si="0"/>
        <v>0</v>
      </c>
    </row>
    <row r="13" spans="3:19" x14ac:dyDescent="0.25">
      <c r="C13" s="1" t="str">
        <f>IFERROR(IF(MATCH(Sections!F13,DATA!$B$21:$B$26,0)&gt;0,D13,""),"")</f>
        <v/>
      </c>
      <c r="D13">
        <v>7</v>
      </c>
      <c r="E13" t="s">
        <v>132</v>
      </c>
      <c r="F13" t="s">
        <v>122</v>
      </c>
      <c r="G13">
        <v>150000</v>
      </c>
      <c r="H13">
        <f>IFERROR(INDEX(DATA!$I$21:$I$25,MATCH(Sections!F13,DATA!$B$21:$B$26,0),1),0)</f>
        <v>0</v>
      </c>
      <c r="N13" s="1">
        <f>IFERROR(IF(MATCH(P13,DATA!$B$28:$B$33,0)&gt;0,O13,""),"")</f>
        <v>7</v>
      </c>
      <c r="O13">
        <v>7</v>
      </c>
      <c r="P13" t="s">
        <v>129</v>
      </c>
      <c r="Q13">
        <v>50000</v>
      </c>
      <c r="R13">
        <f>IFERROR(INDEX(DATA!$I$28:$I$33,MATCH(Sections!P13,DATA!$B$28:$B$33,0),1),0)</f>
        <v>0</v>
      </c>
      <c r="S13">
        <f t="shared" si="0"/>
        <v>0</v>
      </c>
    </row>
    <row r="14" spans="3:19" x14ac:dyDescent="0.25">
      <c r="C14" s="1" t="str">
        <f>IFERROR(IF(MATCH(Sections!F14,DATA!$B$21:$B$26,0)&gt;0,D14,""),"")</f>
        <v/>
      </c>
      <c r="D14">
        <v>8</v>
      </c>
      <c r="E14" t="s">
        <v>132</v>
      </c>
      <c r="F14" t="s">
        <v>137</v>
      </c>
      <c r="G14">
        <v>150000</v>
      </c>
      <c r="H14">
        <f>IFERROR(INDEX(DATA!$I$21:$I$25,MATCH(Sections!F14,DATA!$B$21:$B$26,0),1),0)</f>
        <v>0</v>
      </c>
      <c r="N14" s="1" t="str">
        <f>IFERROR(IF(MATCH(P14,DATA!$B$28:$B$33,0)&gt;0,O14,""),"")</f>
        <v/>
      </c>
      <c r="O14">
        <v>8</v>
      </c>
      <c r="P14" t="s">
        <v>152</v>
      </c>
      <c r="Q14">
        <v>25000</v>
      </c>
      <c r="R14" s="149">
        <f>IFERROR(INDEX(DATA!$I$28:$I$33,MATCH(Sections!P14,DATA!$B$28:$B$33,0),1),0)</f>
        <v>0</v>
      </c>
      <c r="S14">
        <f t="shared" si="0"/>
        <v>0</v>
      </c>
    </row>
    <row r="15" spans="3:19" x14ac:dyDescent="0.25">
      <c r="C15" s="1" t="str">
        <f>IFERROR(IF(MATCH(Sections!F15,DATA!$B$21:$B$26,0)&gt;0,D15,""),"")</f>
        <v/>
      </c>
      <c r="D15">
        <v>9</v>
      </c>
      <c r="E15" t="s">
        <v>132</v>
      </c>
      <c r="F15" t="s">
        <v>138</v>
      </c>
      <c r="G15">
        <v>150000</v>
      </c>
      <c r="H15">
        <f>IFERROR(INDEX(DATA!$I$21:$I$25,MATCH(Sections!F15,DATA!$B$21:$B$26,0),1),0)</f>
        <v>0</v>
      </c>
      <c r="N15" s="1" t="str">
        <f>IFERROR(IF(MATCH(P15,DATA!$B$28:$B$33,0)&gt;0,O15,""),"")</f>
        <v/>
      </c>
      <c r="O15">
        <v>9</v>
      </c>
      <c r="P15" t="s">
        <v>153</v>
      </c>
      <c r="Q15">
        <v>5000</v>
      </c>
      <c r="R15">
        <f>IFERROR(INDEX(DATA!$I$28:$I$33,MATCH(Sections!P15,DATA!$B$28:$B$33,0),1),0)</f>
        <v>0</v>
      </c>
      <c r="S15">
        <f>IF(S31&gt;=25000,0,MIN(Q15,R15))</f>
        <v>0</v>
      </c>
    </row>
    <row r="16" spans="3:19" x14ac:dyDescent="0.25">
      <c r="C16" s="1" t="str">
        <f>IFERROR(IF(MATCH(Sections!F16,DATA!$B$21:$B$26,0)&gt;0,D16,""),"")</f>
        <v/>
      </c>
      <c r="D16">
        <v>10</v>
      </c>
      <c r="E16" t="s">
        <v>132</v>
      </c>
      <c r="F16" t="s">
        <v>121</v>
      </c>
      <c r="G16">
        <v>150000</v>
      </c>
      <c r="H16">
        <f>IFERROR(INDEX(DATA!$I$21:$I$25,MATCH(Sections!F16,DATA!$B$21:$B$26,0),1),0)</f>
        <v>0</v>
      </c>
      <c r="N16" s="1" t="str">
        <f>IFERROR(IF(MATCH(P16,DATA!$B$28:$B$33,0)&gt;0,O16,""),"")</f>
        <v/>
      </c>
      <c r="O16">
        <v>10</v>
      </c>
      <c r="P16" t="s">
        <v>154</v>
      </c>
      <c r="Q16">
        <v>40000</v>
      </c>
      <c r="R16">
        <f>IFERROR(INDEX(DATA!$I$28:$I$33,MATCH(Sections!P16,DATA!$B$28:$B$33,0),1),0)</f>
        <v>0</v>
      </c>
      <c r="S16">
        <f t="shared" si="0"/>
        <v>0</v>
      </c>
    </row>
    <row r="17" spans="3:21" x14ac:dyDescent="0.25">
      <c r="C17" s="1" t="str">
        <f>IFERROR(IF(MATCH(Sections!F17,DATA!$B$21:$B$26,0)&gt;0,D17,""),"")</f>
        <v/>
      </c>
      <c r="D17">
        <v>11</v>
      </c>
      <c r="E17" t="s">
        <v>132</v>
      </c>
      <c r="F17" t="s">
        <v>139</v>
      </c>
      <c r="G17">
        <v>150000</v>
      </c>
      <c r="H17">
        <f>IFERROR(INDEX(DATA!$I$21:$I$25,MATCH(Sections!F17,DATA!$B$21:$B$26,0),1),0)</f>
        <v>0</v>
      </c>
      <c r="N17" s="1" t="str">
        <f>IFERROR(IF(MATCH(P17,DATA!$B$28:$B$33,0)&gt;0,O17,""),"")</f>
        <v/>
      </c>
      <c r="O17">
        <v>11</v>
      </c>
      <c r="P17" t="s">
        <v>155</v>
      </c>
      <c r="Q17">
        <v>100000</v>
      </c>
      <c r="R17">
        <f>IFERROR(INDEX(DATA!$I$28:$I$33,MATCH(Sections!P17,DATA!$B$28:$B$33,0),1),0)</f>
        <v>0</v>
      </c>
      <c r="S17">
        <f t="shared" si="0"/>
        <v>0</v>
      </c>
    </row>
    <row r="18" spans="3:21" x14ac:dyDescent="0.25">
      <c r="C18" s="1" t="str">
        <f>IFERROR(IF(MATCH(Sections!F18,DATA!$B$21:$B$26,0)&gt;0,D18,""),"")</f>
        <v/>
      </c>
      <c r="D18">
        <v>12</v>
      </c>
      <c r="E18" t="s">
        <v>132</v>
      </c>
      <c r="F18" t="s">
        <v>140</v>
      </c>
      <c r="G18">
        <v>150000</v>
      </c>
      <c r="H18">
        <f>IFERROR(INDEX(DATA!$I$21:$I$25,MATCH(Sections!F18,DATA!$B$21:$B$26,0),1),0)</f>
        <v>0</v>
      </c>
      <c r="N18" s="1" t="str">
        <f>IFERROR(IF(MATCH(P18,DATA!$B$28:$B$33,0)&gt;0,O18,""),"")</f>
        <v/>
      </c>
      <c r="O18">
        <v>12</v>
      </c>
      <c r="P18" t="s">
        <v>156</v>
      </c>
      <c r="Q18">
        <v>100000</v>
      </c>
      <c r="R18">
        <f>IFERROR(INDEX(DATA!$I$28:$I$33,MATCH(Sections!P18,DATA!$B$28:$B$33,0),1),0)</f>
        <v>0</v>
      </c>
      <c r="S18">
        <f t="shared" si="0"/>
        <v>0</v>
      </c>
    </row>
    <row r="19" spans="3:21" x14ac:dyDescent="0.25">
      <c r="C19" s="1" t="str">
        <f>IFERROR(IF(MATCH(Sections!F19,DATA!$B$21:$B$26,0)&gt;0,D19,""),"")</f>
        <v/>
      </c>
      <c r="D19">
        <v>13</v>
      </c>
      <c r="E19" t="s">
        <v>132</v>
      </c>
      <c r="F19" t="s">
        <v>141</v>
      </c>
      <c r="G19">
        <v>150000</v>
      </c>
      <c r="H19">
        <f>IFERROR(INDEX(DATA!$I$21:$I$25,MATCH(Sections!F19,DATA!$B$21:$B$26,0),1),0)</f>
        <v>0</v>
      </c>
      <c r="N19" s="1" t="str">
        <f>IFERROR(IF(MATCH(P19,DATA!$B$28:$B$33,0)&gt;0,O19,""),"")</f>
        <v/>
      </c>
      <c r="O19">
        <v>13</v>
      </c>
      <c r="P19" t="s">
        <v>157</v>
      </c>
      <c r="Q19">
        <v>150000</v>
      </c>
      <c r="R19">
        <f>IFERROR(INDEX(DATA!$I$28:$I$33,MATCH(Sections!P19,DATA!$B$28:$B$33,0),1),0)</f>
        <v>0</v>
      </c>
      <c r="S19">
        <f t="shared" si="0"/>
        <v>0</v>
      </c>
    </row>
    <row r="20" spans="3:21" x14ac:dyDescent="0.25">
      <c r="C20" s="1" t="str">
        <f>IFERROR(IF(MATCH(Sections!F20,DATA!$B$21:$B$26,0)&gt;0,D20,""),"")</f>
        <v/>
      </c>
      <c r="D20">
        <v>14</v>
      </c>
      <c r="E20" t="s">
        <v>132</v>
      </c>
      <c r="F20" t="s">
        <v>142</v>
      </c>
      <c r="G20">
        <v>150000</v>
      </c>
      <c r="H20">
        <f>IFERROR(INDEX(DATA!$I$21:$I$25,MATCH(Sections!F20,DATA!$B$21:$B$26,0),1),0)</f>
        <v>0</v>
      </c>
      <c r="N20" s="1">
        <f>IFERROR(IF(MATCH(P20,DATA!$B$28:$B$33,0)&gt;0,O20,""),"")</f>
        <v>14</v>
      </c>
      <c r="O20">
        <v>14</v>
      </c>
      <c r="P20" t="s">
        <v>158</v>
      </c>
      <c r="Q20">
        <v>10000</v>
      </c>
      <c r="R20">
        <f>IFERROR(INDEX(DATA!$I$28:$I$33,MATCH(Sections!P20,DATA!$B$28:$B$33,0),1),0)</f>
        <v>0</v>
      </c>
      <c r="S20">
        <f t="shared" si="0"/>
        <v>0</v>
      </c>
    </row>
    <row r="21" spans="3:21" x14ac:dyDescent="0.25">
      <c r="C21" s="1" t="str">
        <f>IFERROR(IF(MATCH(Sections!F21,DATA!$B$21:$B$26,0)&gt;0,D21,""),"")</f>
        <v/>
      </c>
      <c r="D21">
        <v>15</v>
      </c>
      <c r="E21" t="s">
        <v>132</v>
      </c>
      <c r="F21" t="s">
        <v>143</v>
      </c>
      <c r="G21">
        <v>150000</v>
      </c>
      <c r="H21">
        <f>IFERROR(INDEX(DATA!$I$21:$I$25,MATCH(Sections!F21,DATA!$B$21:$B$26,0),1),0)</f>
        <v>0</v>
      </c>
      <c r="N21" s="1" t="str">
        <f>IFERROR(IF(MATCH(P21,DATA!$B$28:$B$33,0)&gt;0,O21,""),"")</f>
        <v/>
      </c>
      <c r="O21">
        <v>15</v>
      </c>
      <c r="P21" t="s">
        <v>159</v>
      </c>
      <c r="Q21">
        <v>50000</v>
      </c>
      <c r="R21">
        <f>IFERROR(INDEX(DATA!$I$28:$I$33,MATCH(Sections!P21,DATA!$B$28:$B$33,0),1),0)</f>
        <v>0</v>
      </c>
      <c r="S21">
        <f t="shared" si="0"/>
        <v>0</v>
      </c>
    </row>
    <row r="22" spans="3:21" x14ac:dyDescent="0.25">
      <c r="C22" s="1" t="str">
        <f>IFERROR(IF(MATCH(Sections!F22,DATA!$B$21:$B$26,0)&gt;0,D22,""),"")</f>
        <v/>
      </c>
      <c r="D22">
        <v>16</v>
      </c>
      <c r="E22" t="s">
        <v>132</v>
      </c>
      <c r="F22" t="s">
        <v>144</v>
      </c>
      <c r="G22">
        <v>150000</v>
      </c>
      <c r="H22">
        <f>IFERROR(INDEX(DATA!$I$21:$I$25,MATCH(Sections!F22,DATA!$B$21:$B$26,0),1),0)</f>
        <v>0</v>
      </c>
      <c r="N22" s="1" t="str">
        <f>IFERROR(IF(MATCH(P22,DATA!$B$28:$B$33,0)&gt;0,O22,""),"")</f>
        <v/>
      </c>
      <c r="O22">
        <v>16</v>
      </c>
      <c r="P22" t="s">
        <v>160</v>
      </c>
      <c r="Q22">
        <f>R22</f>
        <v>0</v>
      </c>
      <c r="R22">
        <f>IFERROR(INDEX(DATA!$I$28:$I$33,MATCH(Sections!P22,DATA!$B$28:$B$33,0),1),0)</f>
        <v>0</v>
      </c>
      <c r="S22">
        <f>MIN(Q22,R22)</f>
        <v>0</v>
      </c>
    </row>
    <row r="23" spans="3:21" x14ac:dyDescent="0.25">
      <c r="C23" s="1" t="str">
        <f>IFERROR(IF(MATCH(Sections!F23,DATA!$B$21:$B$26,0)&gt;0,D23,""),"")</f>
        <v/>
      </c>
      <c r="D23">
        <v>17</v>
      </c>
      <c r="E23" t="s">
        <v>145</v>
      </c>
      <c r="F23" t="s">
        <v>123</v>
      </c>
      <c r="G23">
        <v>150000</v>
      </c>
      <c r="H23">
        <f>IFERROR(INDEX(DATA!$I$21:$I$25,MATCH(Sections!F23,DATA!$B$21:$B$26,0),1),0)</f>
        <v>0</v>
      </c>
      <c r="N23" s="1" t="str">
        <f>IFERROR(IF(MATCH(P23,DATA!$B$28:$B$33,0)&gt;0,O23,""),"")</f>
        <v/>
      </c>
      <c r="O23">
        <v>17</v>
      </c>
      <c r="P23" t="s">
        <v>161</v>
      </c>
      <c r="Q23">
        <f t="shared" ref="Q23:Q24" si="1">R23</f>
        <v>0</v>
      </c>
      <c r="R23">
        <f>IFERROR(INDEX(DATA!$I$28:$I$33,MATCH(Sections!P23,DATA!$B$28:$B$33,0),1),0)</f>
        <v>0</v>
      </c>
      <c r="S23">
        <f>MIN(Q23,R23)</f>
        <v>0</v>
      </c>
    </row>
    <row r="24" spans="3:21" x14ac:dyDescent="0.25">
      <c r="C24" s="1" t="str">
        <f>IFERROR(IF(MATCH(Sections!F24,DATA!$B$21:$B$26,0)&gt;0,D24,""),"")</f>
        <v/>
      </c>
      <c r="D24">
        <v>18</v>
      </c>
      <c r="E24" t="s">
        <v>132</v>
      </c>
      <c r="F24" t="s">
        <v>146</v>
      </c>
      <c r="G24">
        <v>150000</v>
      </c>
      <c r="H24">
        <f>IFERROR(INDEX(DATA!$I$21:$I$25,MATCH(Sections!F24,DATA!$B$21:$B$26,0),1),0)</f>
        <v>0</v>
      </c>
      <c r="N24" s="1" t="str">
        <f>IFERROR(IF(MATCH(P24,DATA!$B$28:$B$33,0)&gt;0,O24,""),"")</f>
        <v/>
      </c>
      <c r="O24">
        <v>18</v>
      </c>
      <c r="P24" t="s">
        <v>162</v>
      </c>
      <c r="Q24">
        <f t="shared" si="1"/>
        <v>0</v>
      </c>
      <c r="R24">
        <f>IFERROR(INDEX(DATA!$I$28:$I$33,MATCH(Sections!P24,DATA!$B$28:$B$33,0),1),0)</f>
        <v>0</v>
      </c>
      <c r="S24">
        <f>MIN(Q24,R24)</f>
        <v>0</v>
      </c>
    </row>
    <row r="25" spans="3:21" x14ac:dyDescent="0.25">
      <c r="C25" s="1">
        <f>IFERROR(IF(MATCH(Sections!F25,DATA!$B$21:$B$26,0)&gt;0,D25,""),"")</f>
        <v>19</v>
      </c>
      <c r="D25">
        <v>19</v>
      </c>
      <c r="E25" t="s">
        <v>132</v>
      </c>
      <c r="F25" t="str">
        <f>DATA!B26</f>
        <v>Any other deductable (u/s 80C)</v>
      </c>
      <c r="G25">
        <v>150000</v>
      </c>
      <c r="H25">
        <f>DATA!I26</f>
        <v>0</v>
      </c>
      <c r="N25" s="1" t="str">
        <f>IFERROR(IF(MATCH(P25,DATA!$B$28:$B$33,0)&gt;0,O25,""),"")</f>
        <v/>
      </c>
      <c r="O25">
        <v>19</v>
      </c>
      <c r="P25" t="s">
        <v>163</v>
      </c>
      <c r="Q25">
        <f>R25</f>
        <v>0</v>
      </c>
      <c r="R25">
        <f>IFERROR(INDEX(DATA!$I$28:$I$33,MATCH(Sections!P25,DATA!$B$28:$B$33,0),1),0)</f>
        <v>0</v>
      </c>
      <c r="S25">
        <f>ROUND(R25/2,0)</f>
        <v>0</v>
      </c>
    </row>
    <row r="26" spans="3:21" x14ac:dyDescent="0.25">
      <c r="N26" s="1" t="str">
        <f>IFERROR(IF(MATCH(P26,DATA!$B$28:$B$33,0)&gt;0,O26,""),"")</f>
        <v/>
      </c>
      <c r="O26">
        <v>20</v>
      </c>
      <c r="P26" t="s">
        <v>644</v>
      </c>
      <c r="Q26">
        <v>50000</v>
      </c>
      <c r="R26">
        <f>IFERROR(INDEX(DATA!$I$28:$I$33,MATCH(Sections!P26,DATA!$B$28:$B$33,0),1),0)</f>
        <v>0</v>
      </c>
      <c r="S26">
        <f t="shared" si="0"/>
        <v>0</v>
      </c>
    </row>
    <row r="27" spans="3:21" x14ac:dyDescent="0.25">
      <c r="N27" s="1" t="str">
        <f>IFERROR(IF(MATCH(P27,DATA!$B$28:$B$33,0)&gt;0,O27,""),"")</f>
        <v/>
      </c>
      <c r="O27">
        <v>21</v>
      </c>
      <c r="P27" t="s">
        <v>164</v>
      </c>
      <c r="Q27">
        <v>25000</v>
      </c>
      <c r="R27">
        <f>IFERROR(INDEX(DATA!$I$28:$I$33,MATCH(Sections!P27,DATA!$B$28:$B$33,0),1),0)/2</f>
        <v>0</v>
      </c>
      <c r="S27">
        <f t="shared" si="0"/>
        <v>0</v>
      </c>
    </row>
    <row r="28" spans="3:21" x14ac:dyDescent="0.25">
      <c r="N28" s="1" t="str">
        <f>IFERROR(IF(MATCH(P28,DATA!$B$28:$B$33,0)&gt;0,O28,""),"")</f>
        <v/>
      </c>
      <c r="O28">
        <v>22</v>
      </c>
      <c r="P28" t="s">
        <v>474</v>
      </c>
      <c r="Q28" s="149">
        <f>DATA!R119</f>
        <v>0</v>
      </c>
      <c r="R28">
        <f>IFERROR(INDEX(DATA!$I$28:$I$33,MATCH(Sections!P28,DATA!$B$28:$B$33,0),1),0)</f>
        <v>0</v>
      </c>
      <c r="S28">
        <f>MAX(Q28,R28)</f>
        <v>0</v>
      </c>
    </row>
    <row r="29" spans="3:21" x14ac:dyDescent="0.25">
      <c r="C29">
        <v>1</v>
      </c>
      <c r="D29" s="1">
        <f>IFERROR(SMALL($C$7:$C$25,D7),"")</f>
        <v>1</v>
      </c>
      <c r="E29" s="1" t="str">
        <f>IFERROR(INDEX($E$7:$E$25,D29,1),"")</f>
        <v>80C</v>
      </c>
      <c r="F29" s="1" t="str">
        <f>IFERROR(INDEX($F$7:$F$25,D29,1)&amp;IF(AND(D29=4,'Statement(edit)'!$AA$29&gt;0)," &amp;Salary Deduction",""),"")</f>
        <v xml:space="preserve">Children Tution Fee </v>
      </c>
      <c r="G29" s="1">
        <f>INDEX($G$7:$G$25,D29,1)</f>
        <v>150000</v>
      </c>
      <c r="H29" s="1">
        <f>IFERROR(INDEX($H$7:$H$25,D29,1),0)</f>
        <v>0</v>
      </c>
      <c r="N29" s="23" t="str">
        <f>IFERROR(IF(S29&gt;0,O29,""),"")</f>
        <v/>
      </c>
      <c r="O29" s="22">
        <v>23</v>
      </c>
      <c r="P29" s="581" t="s">
        <v>538</v>
      </c>
      <c r="Q29" s="22">
        <v>150000</v>
      </c>
      <c r="R29" s="22">
        <f>O48</f>
        <v>0</v>
      </c>
      <c r="S29" s="22">
        <f>R29</f>
        <v>0</v>
      </c>
    </row>
    <row r="30" spans="3:21" x14ac:dyDescent="0.25">
      <c r="C30">
        <v>2</v>
      </c>
      <c r="D30" s="1">
        <f t="shared" ref="D30:D34" si="2">IFERROR(SMALL($C$7:$C$25,D8),"")</f>
        <v>2</v>
      </c>
      <c r="E30" s="1" t="str">
        <f t="shared" ref="E30:E34" si="3">IFERROR(INDEX($E$7:$E$25,D30,1),"")</f>
        <v>80C</v>
      </c>
      <c r="F30" s="1" t="str">
        <f>IFERROR(INDEX($F$7:$F$25,D30,1)&amp;IF(AND(D30=4,'Statement(edit)'!$AA$29&gt;0)," &amp;Salary Deduction",""),"")</f>
        <v>Repayment of Home Loan Premium (principal component)</v>
      </c>
      <c r="G30" s="1">
        <f t="shared" ref="G30:G34" si="4">INDEX($G$7:$G$25,D30,1)</f>
        <v>150000</v>
      </c>
      <c r="H30" s="1">
        <f t="shared" ref="H30:H34" si="5">IFERROR(INDEX($H$7:$H$25,D30,1),0)</f>
        <v>0</v>
      </c>
      <c r="N30" s="23" t="str">
        <f>IFERROR(IF(S30&gt;0,O30,""),"")</f>
        <v/>
      </c>
      <c r="O30" s="22">
        <v>24</v>
      </c>
      <c r="P30" s="581" t="s">
        <v>537</v>
      </c>
      <c r="Q30" s="22">
        <v>50000</v>
      </c>
      <c r="R30" s="22">
        <f>O49</f>
        <v>0</v>
      </c>
      <c r="S30" s="22">
        <f>R30</f>
        <v>0</v>
      </c>
      <c r="U30" s="1" t="s">
        <v>10</v>
      </c>
    </row>
    <row r="31" spans="3:21" x14ac:dyDescent="0.25">
      <c r="C31">
        <v>3</v>
      </c>
      <c r="D31" s="1">
        <f t="shared" si="2"/>
        <v>3</v>
      </c>
      <c r="E31" s="1" t="str">
        <f t="shared" si="3"/>
        <v>80C</v>
      </c>
      <c r="F31" s="1" t="str">
        <f>IFERROR(INDEX($F$7:$F$25,D31,1)&amp;IF(AND(D31=4,'Statement(edit)'!$AA$29&gt;0)," &amp;Salary Deduction",""),"")</f>
        <v>National Savings Certificate(NSC)</v>
      </c>
      <c r="G31" s="1">
        <f t="shared" si="4"/>
        <v>150000</v>
      </c>
      <c r="H31" s="1">
        <f t="shared" si="5"/>
        <v>0</v>
      </c>
      <c r="N31" s="3">
        <f>O31</f>
        <v>25</v>
      </c>
      <c r="O31" s="276">
        <v>25</v>
      </c>
      <c r="P31" s="276" t="s">
        <v>128</v>
      </c>
      <c r="Q31" s="276">
        <v>25000</v>
      </c>
      <c r="R31" s="277">
        <f>IFERROR($U$31,0)+IFERROR(INDEX(DATA!$I$28:$I$33,MATCH(Sections!P31,DATA!$B$28:$B$33,0),1),0)</f>
        <v>0</v>
      </c>
      <c r="S31" s="276">
        <f>MIN(Q31,R31)</f>
        <v>0</v>
      </c>
      <c r="U31" s="1">
        <f>SUMIF('Statement(edit)'!$S$4:$AA$4,"EHS",'Statement(edit)'!$S$29:$AA$29)</f>
        <v>0</v>
      </c>
    </row>
    <row r="32" spans="3:21" x14ac:dyDescent="0.25">
      <c r="C32">
        <v>4</v>
      </c>
      <c r="D32" s="1">
        <f t="shared" si="2"/>
        <v>4</v>
      </c>
      <c r="E32" s="1" t="str">
        <f t="shared" si="3"/>
        <v>80C</v>
      </c>
      <c r="F32" s="1" t="str">
        <f>IFERROR(INDEX($F$7:$F$25,D32,1)&amp;IF(AND(D32=4,'Statement(edit)'!$AA$29&gt;0)," &amp;Salary Deduction",""),"")</f>
        <v>LIC Annual Premiums Paid by Hand</v>
      </c>
      <c r="G32" s="1">
        <f t="shared" si="4"/>
        <v>150000</v>
      </c>
      <c r="H32" s="1">
        <f t="shared" si="5"/>
        <v>0</v>
      </c>
      <c r="N32" s="3">
        <f>O32</f>
        <v>26</v>
      </c>
      <c r="O32" s="276">
        <v>26</v>
      </c>
      <c r="P32" s="276" t="s">
        <v>539</v>
      </c>
      <c r="Q32" s="276">
        <f ca="1">H39</f>
        <v>120776</v>
      </c>
      <c r="R32" s="276">
        <f ca="1">Q32</f>
        <v>120776</v>
      </c>
      <c r="S32" s="276">
        <f ca="1">R32</f>
        <v>120776</v>
      </c>
    </row>
    <row r="33" spans="3:21" x14ac:dyDescent="0.25">
      <c r="C33">
        <v>5</v>
      </c>
      <c r="D33" s="1">
        <f t="shared" si="2"/>
        <v>5</v>
      </c>
      <c r="E33" s="1" t="str">
        <f t="shared" si="3"/>
        <v>80C</v>
      </c>
      <c r="F33" s="1" t="str">
        <f>IFERROR(INDEX($F$7:$F$25,D33,1)&amp;IF(AND(D33=4,'Statement(edit)'!$AA$29&gt;0)," &amp;Salary Deduction",""),"")</f>
        <v>PLI Annual Premuim</v>
      </c>
      <c r="G33" s="1">
        <f t="shared" si="4"/>
        <v>150000</v>
      </c>
      <c r="H33" s="1">
        <f t="shared" si="5"/>
        <v>0</v>
      </c>
    </row>
    <row r="34" spans="3:21" x14ac:dyDescent="0.25">
      <c r="C34">
        <v>6</v>
      </c>
      <c r="D34" s="1">
        <f t="shared" si="2"/>
        <v>19</v>
      </c>
      <c r="E34" s="1" t="str">
        <f t="shared" si="3"/>
        <v>80C</v>
      </c>
      <c r="F34" s="1" t="str">
        <f>IFERROR(INDEX($F$7:$F$25,D34,1)&amp;IF(AND(D34=4,'Statement(edit)'!$AA$29&gt;0)," &amp;Salary Deduction",""),"")</f>
        <v>Any other deductable (u/s 80C)</v>
      </c>
      <c r="G34" s="1">
        <f t="shared" si="4"/>
        <v>150000</v>
      </c>
      <c r="H34" s="1">
        <f t="shared" si="5"/>
        <v>0</v>
      </c>
    </row>
    <row r="35" spans="3:21" x14ac:dyDescent="0.25">
      <c r="D35" s="1"/>
      <c r="E35" s="1"/>
      <c r="F35" s="1" t="s">
        <v>286</v>
      </c>
      <c r="G35">
        <v>150000</v>
      </c>
      <c r="H35" s="1">
        <f>SUM(H48:H50)+SUM(H29:H34)</f>
        <v>37440</v>
      </c>
    </row>
    <row r="36" spans="3:21" x14ac:dyDescent="0.25">
      <c r="F36" t="s">
        <v>547</v>
      </c>
      <c r="N36">
        <v>1</v>
      </c>
      <c r="O36" s="1">
        <f>IFERROR(SMALL($N$7:$N$32,N36),"")</f>
        <v>1</v>
      </c>
      <c r="P36" s="1" t="str">
        <f t="shared" ref="P36:P42" si="6">IFERROR(INDEX($P$7:$P$32,O36,1),"")</f>
        <v>80E-Interest on Educational Loan</v>
      </c>
      <c r="Q36" s="1">
        <f>IF($O36="","",INDEX($Q$7:$Q$32,O36,1))</f>
        <v>0</v>
      </c>
      <c r="R36" s="1">
        <f>IF($O36="","",INDEX($R$7:$R$32,O36,1))</f>
        <v>0</v>
      </c>
      <c r="S36" s="1">
        <f>IF($O36="","",INDEX($S$7:$S$32,O36,1))</f>
        <v>0</v>
      </c>
    </row>
    <row r="37" spans="3:21" x14ac:dyDescent="0.25">
      <c r="E37" s="22">
        <f>IF(DATA!M7="CPS",1,2)</f>
        <v>1</v>
      </c>
      <c r="F37" t="s">
        <v>292</v>
      </c>
      <c r="H37">
        <f ca="1">IF(H38=0,0,MAX(0,G35-H35))</f>
        <v>112560</v>
      </c>
      <c r="N37">
        <v>2</v>
      </c>
      <c r="O37" s="1">
        <f t="shared" ref="O37:O41" si="7">IFERROR(SMALL($N$7:$N$32,N37),"")</f>
        <v>5</v>
      </c>
      <c r="P37" s="1" t="str">
        <f t="shared" si="6"/>
        <v>80DD-Treatment of Handicapped Dependent-above 80%disability</v>
      </c>
      <c r="Q37" s="1">
        <f t="shared" ref="Q37:Q41" si="8">IF($O37="","",INDEX($Q$7:$Q$32,O37,1))</f>
        <v>125000</v>
      </c>
      <c r="R37" s="1">
        <f>IF($O37="","",INDEX($R$7:$R$32,O37,1))</f>
        <v>0</v>
      </c>
      <c r="S37" s="1">
        <f t="shared" ref="S37:S41" si="9">IF($O37="","",INDEX($S$7:$S$32,O37,1))</f>
        <v>0</v>
      </c>
    </row>
    <row r="38" spans="3:21" x14ac:dyDescent="0.25">
      <c r="E38" t="s">
        <v>287</v>
      </c>
      <c r="F38" t="s">
        <v>288</v>
      </c>
      <c r="H38">
        <f ca="1">IF(E37=1,'Statement(edit)'!S29,0)</f>
        <v>120776</v>
      </c>
      <c r="N38">
        <v>3</v>
      </c>
      <c r="O38" s="1">
        <f t="shared" si="7"/>
        <v>7</v>
      </c>
      <c r="P38" s="1" t="str">
        <f t="shared" si="6"/>
        <v>80D-Medical Insurance Premium-senior citizen dependent parents</v>
      </c>
      <c r="Q38" s="1">
        <f t="shared" si="8"/>
        <v>50000</v>
      </c>
      <c r="R38" s="1">
        <f t="shared" ref="R38:R41" si="10">IF($O38="","",INDEX($R$7:$R$32,O38,1))</f>
        <v>0</v>
      </c>
      <c r="S38" s="1">
        <f t="shared" si="9"/>
        <v>0</v>
      </c>
    </row>
    <row r="39" spans="3:21" x14ac:dyDescent="0.25">
      <c r="E39" t="s">
        <v>289</v>
      </c>
      <c r="F39" t="s">
        <v>327</v>
      </c>
      <c r="H39">
        <f ca="1">IF(H38=0,0,'Statement(edit)'!S29)</f>
        <v>120776</v>
      </c>
      <c r="N39">
        <v>4</v>
      </c>
      <c r="O39" s="1">
        <f t="shared" si="7"/>
        <v>14</v>
      </c>
      <c r="P39" s="1" t="str">
        <f t="shared" si="6"/>
        <v>80TTA-Interest on Savings account</v>
      </c>
      <c r="Q39" s="1">
        <f t="shared" si="8"/>
        <v>10000</v>
      </c>
      <c r="R39" s="1">
        <f t="shared" si="10"/>
        <v>0</v>
      </c>
      <c r="S39" s="1">
        <f t="shared" si="9"/>
        <v>0</v>
      </c>
    </row>
    <row r="40" spans="3:21" x14ac:dyDescent="0.25">
      <c r="F40" t="s">
        <v>293</v>
      </c>
      <c r="H40">
        <f ca="1">MIN(H37,H39)</f>
        <v>112560</v>
      </c>
      <c r="N40">
        <v>5</v>
      </c>
      <c r="O40" s="1">
        <f t="shared" si="7"/>
        <v>25</v>
      </c>
      <c r="P40" s="1" t="str">
        <f t="shared" si="6"/>
        <v>80D-Medical Insurance Premium-Self ,Spouse &amp; Children</v>
      </c>
      <c r="Q40" s="1">
        <f t="shared" si="8"/>
        <v>25000</v>
      </c>
      <c r="R40" s="1">
        <f t="shared" si="10"/>
        <v>0</v>
      </c>
      <c r="S40" s="1">
        <f t="shared" si="9"/>
        <v>0</v>
      </c>
    </row>
    <row r="41" spans="3:21" x14ac:dyDescent="0.25">
      <c r="N41">
        <v>6</v>
      </c>
      <c r="O41" s="1">
        <f t="shared" si="7"/>
        <v>26</v>
      </c>
      <c r="P41" s="1" t="str">
        <f t="shared" si="6"/>
        <v>Employer  Contribution towards NPS 80CCD(2)</v>
      </c>
      <c r="Q41" s="1">
        <f t="shared" ca="1" si="8"/>
        <v>120776</v>
      </c>
      <c r="R41" s="1">
        <f t="shared" ca="1" si="10"/>
        <v>120776</v>
      </c>
      <c r="S41" s="1">
        <f t="shared" ca="1" si="9"/>
        <v>120776</v>
      </c>
    </row>
    <row r="42" spans="3:21" x14ac:dyDescent="0.25">
      <c r="E42" t="s">
        <v>291</v>
      </c>
      <c r="F42" t="s">
        <v>290</v>
      </c>
      <c r="G42">
        <f ca="1">MAX(H38-H40,0)</f>
        <v>8216</v>
      </c>
      <c r="H42">
        <f ca="1">MIN(50000,MAX(H38-H40,0))</f>
        <v>8216</v>
      </c>
      <c r="N42">
        <v>7</v>
      </c>
      <c r="O42" s="1" t="str">
        <f>IFERROR(SMALL($N$7:$N$32,N42),"")</f>
        <v/>
      </c>
      <c r="P42" s="1" t="str">
        <f t="shared" si="6"/>
        <v/>
      </c>
      <c r="Q42" s="1" t="str">
        <f t="shared" ref="Q42" si="11">IF($O42="","",INDEX($Q$7:$Q$32,O42,1))</f>
        <v/>
      </c>
      <c r="R42" s="1" t="str">
        <f t="shared" ref="R42" si="12">IF($O42="","",INDEX($R$7:$R$32,O42,1))</f>
        <v/>
      </c>
      <c r="S42" s="1" t="str">
        <f t="shared" ref="S42" si="13">IF($O42="","",INDEX($S$7:$S$32,O42,1))</f>
        <v/>
      </c>
    </row>
    <row r="45" spans="3:21" x14ac:dyDescent="0.25">
      <c r="O45">
        <f>IF(NOT(P46=1),MIN(O50,O46),0)</f>
        <v>0</v>
      </c>
      <c r="P45" s="26" t="s">
        <v>298</v>
      </c>
      <c r="Q45" s="280">
        <v>200000</v>
      </c>
      <c r="R45" s="281">
        <f>DATA!I28</f>
        <v>0</v>
      </c>
      <c r="S45" s="280">
        <f>MIN(Q45,R45)</f>
        <v>0</v>
      </c>
    </row>
    <row r="46" spans="3:21" x14ac:dyDescent="0.25">
      <c r="O46" s="149">
        <f>DATA!I28</f>
        <v>0</v>
      </c>
      <c r="P46" s="334">
        <f>MATCH(DATA!B28,HOUSELOAN,0)</f>
        <v>2</v>
      </c>
    </row>
    <row r="47" spans="3:21" x14ac:dyDescent="0.25">
      <c r="O47">
        <v>0</v>
      </c>
      <c r="P47" t="s">
        <v>535</v>
      </c>
    </row>
    <row r="48" spans="3:21" x14ac:dyDescent="0.25">
      <c r="F48" s="1" t="str">
        <f>ANNEXURE!C31</f>
        <v xml:space="preserve">GPF  - </v>
      </c>
      <c r="G48" s="1"/>
      <c r="H48" s="1">
        <f>IF(DATA!M7="CPS",0,'Statement(edit)'!S29)</f>
        <v>0</v>
      </c>
      <c r="O48">
        <f>IF(P46=2,MAX(0,MIN(150000,O46-O45)),0)</f>
        <v>0</v>
      </c>
      <c r="P48" t="s">
        <v>536</v>
      </c>
      <c r="T48" t="s">
        <v>779</v>
      </c>
      <c r="U48">
        <v>150000</v>
      </c>
    </row>
    <row r="49" spans="6:21" x14ac:dyDescent="0.25">
      <c r="F49" s="1" t="str">
        <f>ANNEXURE!C32</f>
        <v>APGLI    No     (____________________ )</v>
      </c>
      <c r="G49" s="1"/>
      <c r="H49" s="1">
        <f>'Statement(edit)'!T29</f>
        <v>36000</v>
      </c>
      <c r="O49">
        <f>IF(P46=3,MAX(0,MIN(50000,O46-O45)),0)</f>
        <v>0</v>
      </c>
      <c r="P49" t="s">
        <v>737</v>
      </c>
      <c r="T49" t="s">
        <v>780</v>
      </c>
      <c r="U49">
        <v>50000</v>
      </c>
    </row>
    <row r="50" spans="6:21" x14ac:dyDescent="0.25">
      <c r="F50" s="1" t="str">
        <f>ANNEXURE!C33</f>
        <v>GIS</v>
      </c>
      <c r="G50" s="1"/>
      <c r="H50" s="1">
        <f>'Statement(edit)'!U29</f>
        <v>1440</v>
      </c>
      <c r="O50">
        <v>200000</v>
      </c>
      <c r="P50" t="s">
        <v>736</v>
      </c>
    </row>
  </sheetData>
  <pageMargins left="0.7" right="0.7" top="0.75" bottom="0.75" header="0.3" footer="0.3"/>
  <ignoredErrors>
    <ignoredError sqref="S31" formula="1"/>
  </ignoredErrors>
</worksheet>
</file>

<file path=xl/worksheets/sheet1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900DBA8A-E4A0-4585-8663-31E888C1C060}">
  <sheetPr codeName="Sheet13"/>
  <dimension ref="A1:V51"/>
  <sheetViews>
    <sheetView workbookViewId="0">
      <selection activeCell="M17" sqref="M17"/>
    </sheetView>
  </sheetViews>
  <sheetFormatPr defaultRowHeight="15" x14ac:dyDescent="0.25"/>
  <cols>
    <col min="1" max="1" width="20.5703125" customWidth="1"/>
    <col min="2" max="2" width="7.28515625" customWidth="1"/>
    <col min="3" max="4" width="12.7109375" customWidth="1"/>
    <col min="5" max="5" width="8.42578125" customWidth="1"/>
    <col min="6" max="6" width="7.5703125" customWidth="1"/>
    <col min="7" max="7" width="6.5703125" customWidth="1"/>
    <col min="9" max="9" width="7.42578125" bestFit="1" customWidth="1"/>
    <col min="10" max="10" width="15.140625" customWidth="1"/>
    <col min="11" max="11" width="14.7109375" customWidth="1"/>
    <col min="15" max="15" width="14.7109375" customWidth="1"/>
    <col min="16" max="16" width="20.28515625" customWidth="1"/>
    <col min="17" max="17" width="17.7109375" customWidth="1"/>
    <col min="18" max="18" width="17.28515625" customWidth="1"/>
    <col min="20" max="20" width="56.7109375" bestFit="1" customWidth="1"/>
    <col min="21" max="22" width="38.140625" customWidth="1"/>
  </cols>
  <sheetData>
    <row r="1" spans="1:22" ht="10.15" customHeight="1" x14ac:dyDescent="0.25">
      <c r="A1" s="1584" t="s">
        <v>782</v>
      </c>
      <c r="B1" s="1584"/>
      <c r="C1" s="1584"/>
      <c r="D1" s="1584"/>
      <c r="E1" s="1584"/>
      <c r="F1" s="1584"/>
      <c r="G1" s="1584"/>
      <c r="P1" s="1592" t="s">
        <v>895</v>
      </c>
      <c r="Q1" s="1592"/>
      <c r="R1" s="1592"/>
    </row>
    <row r="2" spans="1:22" ht="19.149999999999999" customHeight="1" x14ac:dyDescent="0.25">
      <c r="A2" s="1583" t="s">
        <v>783</v>
      </c>
      <c r="B2" s="1583"/>
      <c r="C2" s="1583"/>
      <c r="D2" s="1583"/>
      <c r="E2" s="1585" t="s">
        <v>776</v>
      </c>
      <c r="F2" s="1586"/>
      <c r="G2" s="1587"/>
      <c r="J2" s="1248" t="s">
        <v>864</v>
      </c>
      <c r="K2" s="1248"/>
      <c r="L2" s="1248"/>
      <c r="M2" s="1248"/>
      <c r="N2" s="334"/>
      <c r="O2" s="334"/>
      <c r="P2" s="1594"/>
      <c r="Q2" s="1594"/>
      <c r="R2" s="1594"/>
      <c r="T2" s="1589" t="s">
        <v>802</v>
      </c>
      <c r="U2" s="1589"/>
      <c r="V2" s="1589"/>
    </row>
    <row r="3" spans="1:22" ht="30.4" customHeight="1" x14ac:dyDescent="0.25">
      <c r="A3" s="642" t="s">
        <v>784</v>
      </c>
      <c r="B3" s="642" t="s">
        <v>785</v>
      </c>
      <c r="C3" s="642" t="s">
        <v>786</v>
      </c>
      <c r="D3" s="642" t="s">
        <v>787</v>
      </c>
      <c r="E3" s="642" t="s">
        <v>713</v>
      </c>
      <c r="F3" s="642" t="s">
        <v>771</v>
      </c>
      <c r="G3" s="642" t="s">
        <v>788</v>
      </c>
      <c r="J3" s="1" t="s">
        <v>855</v>
      </c>
      <c r="K3" s="1" t="s">
        <v>856</v>
      </c>
      <c r="L3" s="1" t="s">
        <v>857</v>
      </c>
      <c r="M3" s="1" t="s">
        <v>858</v>
      </c>
      <c r="P3" s="1595" t="s">
        <v>865</v>
      </c>
      <c r="Q3" s="665" t="s">
        <v>866</v>
      </c>
      <c r="R3" s="665" t="s">
        <v>868</v>
      </c>
      <c r="T3" s="1588" t="s">
        <v>803</v>
      </c>
      <c r="U3" s="1588"/>
      <c r="V3" s="1588"/>
    </row>
    <row r="4" spans="1:22" ht="14.65" customHeight="1" x14ac:dyDescent="0.25">
      <c r="A4" s="643" t="s">
        <v>789</v>
      </c>
      <c r="B4" s="643" t="s">
        <v>790</v>
      </c>
      <c r="C4" s="643" t="s">
        <v>790</v>
      </c>
      <c r="D4" s="643" t="s">
        <v>790</v>
      </c>
      <c r="E4" s="643" t="s">
        <v>790</v>
      </c>
      <c r="F4" s="643" t="s">
        <v>790</v>
      </c>
      <c r="G4" s="643" t="s">
        <v>790</v>
      </c>
      <c r="P4" s="1596"/>
      <c r="Q4" s="666" t="s">
        <v>867</v>
      </c>
      <c r="R4" s="666" t="s">
        <v>869</v>
      </c>
      <c r="T4" s="645" t="s">
        <v>804</v>
      </c>
      <c r="U4" s="645" t="s">
        <v>805</v>
      </c>
      <c r="V4" s="645" t="s">
        <v>806</v>
      </c>
    </row>
    <row r="5" spans="1:22" ht="24" x14ac:dyDescent="0.25">
      <c r="A5" s="643" t="s">
        <v>791</v>
      </c>
      <c r="B5" s="644">
        <v>0.05</v>
      </c>
      <c r="C5" s="643" t="s">
        <v>790</v>
      </c>
      <c r="D5" s="643" t="s">
        <v>790</v>
      </c>
      <c r="E5" s="644">
        <v>0.05</v>
      </c>
      <c r="F5" s="643" t="s">
        <v>790</v>
      </c>
      <c r="G5" s="643" t="s">
        <v>790</v>
      </c>
      <c r="I5" t="str">
        <f>'FORM 10E'!P72</f>
        <v>2020-21</v>
      </c>
      <c r="J5" s="1" t="s">
        <v>862</v>
      </c>
      <c r="K5" s="1" t="s">
        <v>863</v>
      </c>
      <c r="L5" s="1">
        <v>300000</v>
      </c>
      <c r="M5" s="1">
        <v>500000</v>
      </c>
      <c r="P5" s="667" t="s">
        <v>870</v>
      </c>
      <c r="Q5" s="668" t="s">
        <v>871</v>
      </c>
      <c r="R5" s="668" t="s">
        <v>872</v>
      </c>
      <c r="T5" s="646" t="s">
        <v>807</v>
      </c>
      <c r="U5" s="646" t="s">
        <v>808</v>
      </c>
      <c r="V5" s="646" t="s">
        <v>809</v>
      </c>
    </row>
    <row r="6" spans="1:22" x14ac:dyDescent="0.25">
      <c r="A6" s="643" t="s">
        <v>792</v>
      </c>
      <c r="B6" s="644">
        <v>0.05</v>
      </c>
      <c r="C6" s="644">
        <v>0.05</v>
      </c>
      <c r="D6" s="643" t="s">
        <v>790</v>
      </c>
      <c r="E6" s="644">
        <v>0.05</v>
      </c>
      <c r="F6" s="644">
        <v>0.05</v>
      </c>
      <c r="G6" s="644">
        <v>0.05</v>
      </c>
      <c r="I6" t="str">
        <f>'FORM 10E'!P73</f>
        <v>2021-22</v>
      </c>
      <c r="J6" s="1" t="s">
        <v>862</v>
      </c>
      <c r="K6" s="1" t="s">
        <v>863</v>
      </c>
      <c r="L6" s="1">
        <v>300000</v>
      </c>
      <c r="M6" s="1">
        <v>500000</v>
      </c>
      <c r="P6" s="667" t="s">
        <v>873</v>
      </c>
      <c r="Q6" s="668" t="s">
        <v>874</v>
      </c>
      <c r="R6" s="668" t="s">
        <v>875</v>
      </c>
      <c r="T6" s="646" t="s">
        <v>810</v>
      </c>
      <c r="U6" s="646" t="s">
        <v>811</v>
      </c>
      <c r="V6" s="646" t="s">
        <v>809</v>
      </c>
    </row>
    <row r="7" spans="1:22" ht="25.5" x14ac:dyDescent="0.25">
      <c r="A7" s="643" t="s">
        <v>793</v>
      </c>
      <c r="B7" s="644">
        <v>0.2</v>
      </c>
      <c r="C7" s="644">
        <v>0.2</v>
      </c>
      <c r="D7" s="644">
        <v>0.2</v>
      </c>
      <c r="E7" s="644">
        <v>0.1</v>
      </c>
      <c r="F7" s="644">
        <v>0.05</v>
      </c>
      <c r="G7" s="644">
        <v>0.05</v>
      </c>
      <c r="I7" t="str">
        <f>'FORM 10E'!P74</f>
        <v>2022-23</v>
      </c>
      <c r="J7" s="1" t="s">
        <v>862</v>
      </c>
      <c r="K7" s="1" t="s">
        <v>863</v>
      </c>
      <c r="L7" s="1">
        <v>300000</v>
      </c>
      <c r="M7" s="1">
        <v>500000</v>
      </c>
      <c r="P7" s="667" t="s">
        <v>876</v>
      </c>
      <c r="Q7" s="668" t="s">
        <v>47</v>
      </c>
      <c r="R7" s="668" t="s">
        <v>877</v>
      </c>
      <c r="T7" s="646" t="s">
        <v>812</v>
      </c>
      <c r="U7" s="646" t="s">
        <v>813</v>
      </c>
      <c r="V7" s="646" t="s">
        <v>814</v>
      </c>
    </row>
    <row r="8" spans="1:22" x14ac:dyDescent="0.25">
      <c r="A8" s="643" t="s">
        <v>794</v>
      </c>
      <c r="B8" s="644">
        <v>0.2</v>
      </c>
      <c r="C8" s="644">
        <v>0.2</v>
      </c>
      <c r="D8" s="644">
        <v>0.2</v>
      </c>
      <c r="E8" s="644">
        <v>0.1</v>
      </c>
      <c r="F8" s="644">
        <v>0.1</v>
      </c>
      <c r="G8" s="644">
        <v>0.05</v>
      </c>
      <c r="I8" t="str">
        <f>'FORM 10E'!P75</f>
        <v>2023-24</v>
      </c>
      <c r="J8" s="1" t="s">
        <v>862</v>
      </c>
      <c r="K8" s="1" t="s">
        <v>863</v>
      </c>
      <c r="L8" s="1">
        <v>300000</v>
      </c>
      <c r="M8" s="1">
        <v>500000</v>
      </c>
      <c r="P8" s="669" t="s">
        <v>632</v>
      </c>
      <c r="Q8" s="670" t="s">
        <v>874</v>
      </c>
      <c r="R8" s="670" t="s">
        <v>878</v>
      </c>
      <c r="T8" s="646" t="s">
        <v>815</v>
      </c>
      <c r="U8" s="646" t="s">
        <v>816</v>
      </c>
      <c r="V8" s="646" t="s">
        <v>809</v>
      </c>
    </row>
    <row r="9" spans="1:22" x14ac:dyDescent="0.25">
      <c r="A9" s="643" t="s">
        <v>795</v>
      </c>
      <c r="B9" s="644">
        <v>0.2</v>
      </c>
      <c r="C9" s="644">
        <v>0.2</v>
      </c>
      <c r="D9" s="644">
        <v>0.2</v>
      </c>
      <c r="E9" s="644">
        <v>0.1</v>
      </c>
      <c r="F9" s="644">
        <v>0.1</v>
      </c>
      <c r="G9" s="644">
        <v>0.1</v>
      </c>
      <c r="P9" s="1593" t="s">
        <v>879</v>
      </c>
      <c r="Q9" s="1593"/>
      <c r="R9" s="1593"/>
      <c r="T9" s="646" t="s">
        <v>817</v>
      </c>
      <c r="U9" s="646" t="s">
        <v>811</v>
      </c>
      <c r="V9" s="646" t="s">
        <v>809</v>
      </c>
    </row>
    <row r="10" spans="1:22" x14ac:dyDescent="0.25">
      <c r="A10" s="643" t="s">
        <v>796</v>
      </c>
      <c r="B10" s="644">
        <v>0.2</v>
      </c>
      <c r="C10" s="644">
        <v>0.2</v>
      </c>
      <c r="D10" s="644">
        <v>0.2</v>
      </c>
      <c r="E10" s="644">
        <v>0.15</v>
      </c>
      <c r="F10" s="644">
        <v>0.1</v>
      </c>
      <c r="G10" s="644">
        <v>0.1</v>
      </c>
      <c r="P10" s="671"/>
      <c r="Q10" s="393"/>
      <c r="R10" s="393"/>
      <c r="T10" s="646" t="s">
        <v>818</v>
      </c>
      <c r="U10" s="646" t="s">
        <v>819</v>
      </c>
      <c r="V10" s="646" t="s">
        <v>809</v>
      </c>
    </row>
    <row r="11" spans="1:22" x14ac:dyDescent="0.25">
      <c r="A11" s="643" t="s">
        <v>797</v>
      </c>
      <c r="B11" s="644">
        <v>0.2</v>
      </c>
      <c r="C11" s="644">
        <v>0.2</v>
      </c>
      <c r="D11" s="644">
        <v>0.2</v>
      </c>
      <c r="E11" s="644">
        <v>0.15</v>
      </c>
      <c r="F11" s="644">
        <v>0.15</v>
      </c>
      <c r="G11" s="644">
        <v>0.1</v>
      </c>
      <c r="P11" s="672" t="s">
        <v>880</v>
      </c>
      <c r="Q11" s="672" t="s">
        <v>881</v>
      </c>
      <c r="R11" s="672" t="s">
        <v>882</v>
      </c>
      <c r="T11" s="646" t="s">
        <v>820</v>
      </c>
      <c r="U11" s="646" t="s">
        <v>811</v>
      </c>
      <c r="V11" s="646" t="s">
        <v>809</v>
      </c>
    </row>
    <row r="12" spans="1:22" x14ac:dyDescent="0.25">
      <c r="A12" s="643" t="s">
        <v>798</v>
      </c>
      <c r="B12" s="644">
        <v>0.3</v>
      </c>
      <c r="C12" s="644">
        <v>0.3</v>
      </c>
      <c r="D12" s="644">
        <v>0.3</v>
      </c>
      <c r="E12" s="644">
        <v>0.2</v>
      </c>
      <c r="F12" s="644">
        <v>0.15</v>
      </c>
      <c r="G12" s="644">
        <v>0.15</v>
      </c>
      <c r="P12" s="667" t="s">
        <v>883</v>
      </c>
      <c r="Q12" s="668" t="s">
        <v>884</v>
      </c>
      <c r="R12" s="668" t="s">
        <v>884</v>
      </c>
      <c r="T12" s="646" t="s">
        <v>821</v>
      </c>
      <c r="U12" s="646" t="s">
        <v>811</v>
      </c>
      <c r="V12" s="646" t="s">
        <v>809</v>
      </c>
    </row>
    <row r="13" spans="1:22" ht="25.5" x14ac:dyDescent="0.25">
      <c r="A13" s="643" t="s">
        <v>799</v>
      </c>
      <c r="B13" s="644">
        <v>0.3</v>
      </c>
      <c r="C13" s="644">
        <v>0.3</v>
      </c>
      <c r="D13" s="644">
        <v>0.3</v>
      </c>
      <c r="E13" s="644">
        <v>0.2</v>
      </c>
      <c r="F13" s="644">
        <v>0.2</v>
      </c>
      <c r="G13" s="644">
        <v>0.2</v>
      </c>
      <c r="P13" s="667" t="s">
        <v>885</v>
      </c>
      <c r="Q13" s="673">
        <v>0.05</v>
      </c>
      <c r="R13" s="674">
        <v>12500</v>
      </c>
      <c r="T13" s="646" t="s">
        <v>822</v>
      </c>
      <c r="U13" s="646" t="s">
        <v>811</v>
      </c>
      <c r="V13" s="646" t="s">
        <v>809</v>
      </c>
    </row>
    <row r="14" spans="1:22" ht="25.5" x14ac:dyDescent="0.25">
      <c r="A14" s="643" t="s">
        <v>800</v>
      </c>
      <c r="B14" s="644">
        <v>0.3</v>
      </c>
      <c r="C14" s="644">
        <v>0.3</v>
      </c>
      <c r="D14" s="644">
        <v>0.3</v>
      </c>
      <c r="E14" s="644">
        <v>0.25</v>
      </c>
      <c r="F14" s="644">
        <v>0.2</v>
      </c>
      <c r="G14" s="644">
        <v>0.2</v>
      </c>
      <c r="P14" s="667" t="s">
        <v>886</v>
      </c>
      <c r="Q14" s="673">
        <v>0.2</v>
      </c>
      <c r="R14" s="668" t="s">
        <v>887</v>
      </c>
      <c r="T14" s="646" t="s">
        <v>823</v>
      </c>
      <c r="U14" s="646" t="s">
        <v>811</v>
      </c>
      <c r="V14" s="646" t="s">
        <v>809</v>
      </c>
    </row>
    <row r="15" spans="1:22" x14ac:dyDescent="0.25">
      <c r="A15" s="643" t="s">
        <v>801</v>
      </c>
      <c r="B15" s="644">
        <v>0.3</v>
      </c>
      <c r="C15" s="644">
        <v>0.3</v>
      </c>
      <c r="D15" s="644">
        <v>0.3</v>
      </c>
      <c r="E15" s="644">
        <v>0.3</v>
      </c>
      <c r="F15" s="644">
        <v>0.3</v>
      </c>
      <c r="G15" s="644">
        <v>0.3</v>
      </c>
      <c r="P15" s="675" t="s">
        <v>888</v>
      </c>
      <c r="Q15" s="1597">
        <v>0.3</v>
      </c>
      <c r="R15" s="1600" t="s">
        <v>890</v>
      </c>
      <c r="T15" s="646" t="s">
        <v>824</v>
      </c>
      <c r="U15" s="646" t="s">
        <v>811</v>
      </c>
      <c r="V15" s="646" t="s">
        <v>809</v>
      </c>
    </row>
    <row r="16" spans="1:22" ht="25.5" x14ac:dyDescent="0.25">
      <c r="P16" s="676" t="s">
        <v>889</v>
      </c>
      <c r="Q16" s="1598"/>
      <c r="R16" s="1601"/>
      <c r="T16" s="646" t="s">
        <v>825</v>
      </c>
      <c r="U16" s="646" t="s">
        <v>811</v>
      </c>
      <c r="V16" s="646" t="s">
        <v>809</v>
      </c>
    </row>
    <row r="17" spans="1:22" ht="25.5" x14ac:dyDescent="0.25">
      <c r="P17" s="667" t="s">
        <v>891</v>
      </c>
      <c r="Q17" s="1599"/>
      <c r="R17" s="668" t="s">
        <v>892</v>
      </c>
      <c r="T17" s="646" t="s">
        <v>826</v>
      </c>
      <c r="U17" s="646" t="s">
        <v>827</v>
      </c>
      <c r="V17" s="646" t="s">
        <v>809</v>
      </c>
    </row>
    <row r="18" spans="1:22" ht="24" customHeight="1" x14ac:dyDescent="0.25">
      <c r="A18" s="1577" t="s">
        <v>830</v>
      </c>
      <c r="B18" s="1578" t="s">
        <v>831</v>
      </c>
      <c r="C18" s="1578"/>
      <c r="D18" s="1578"/>
      <c r="E18" s="648" t="s">
        <v>832</v>
      </c>
      <c r="P18" s="669" t="s">
        <v>893</v>
      </c>
      <c r="Q18" s="677"/>
      <c r="R18" s="670" t="s">
        <v>874</v>
      </c>
      <c r="T18" s="646" t="s">
        <v>828</v>
      </c>
      <c r="U18" s="646" t="s">
        <v>811</v>
      </c>
      <c r="V18" s="646" t="s">
        <v>809</v>
      </c>
    </row>
    <row r="19" spans="1:22" ht="24" customHeight="1" x14ac:dyDescent="0.25">
      <c r="A19" s="1577"/>
      <c r="B19" s="648" t="s">
        <v>833</v>
      </c>
      <c r="C19" s="648" t="s">
        <v>834</v>
      </c>
      <c r="D19" s="648" t="s">
        <v>835</v>
      </c>
      <c r="E19" s="648" t="s">
        <v>836</v>
      </c>
      <c r="P19" s="669" t="s">
        <v>896</v>
      </c>
      <c r="Q19" s="677"/>
      <c r="R19" s="670" t="s">
        <v>875</v>
      </c>
      <c r="T19" s="646" t="s">
        <v>829</v>
      </c>
      <c r="U19" s="646" t="s">
        <v>811</v>
      </c>
      <c r="V19" s="646" t="s">
        <v>809</v>
      </c>
    </row>
    <row r="20" spans="1:22" x14ac:dyDescent="0.25">
      <c r="A20" s="649" t="s">
        <v>837</v>
      </c>
      <c r="B20" s="649" t="s">
        <v>790</v>
      </c>
      <c r="C20" s="649" t="s">
        <v>790</v>
      </c>
      <c r="D20" s="649" t="s">
        <v>790</v>
      </c>
      <c r="E20" s="649" t="s">
        <v>790</v>
      </c>
      <c r="G20" s="149"/>
      <c r="H20" s="641"/>
    </row>
    <row r="21" spans="1:22" ht="22.5" x14ac:dyDescent="0.25">
      <c r="A21" s="650" t="s">
        <v>838</v>
      </c>
      <c r="B21" s="1579" t="s">
        <v>839</v>
      </c>
      <c r="C21" s="650" t="s">
        <v>790</v>
      </c>
      <c r="D21" s="650" t="s">
        <v>790</v>
      </c>
      <c r="E21" s="1579" t="s">
        <v>839</v>
      </c>
      <c r="G21" s="149"/>
      <c r="H21" s="641"/>
      <c r="P21" s="1592" t="s">
        <v>894</v>
      </c>
      <c r="Q21" s="1592"/>
      <c r="R21" s="1592"/>
    </row>
    <row r="22" spans="1:22" ht="33.75" x14ac:dyDescent="0.25">
      <c r="A22" s="649" t="s">
        <v>840</v>
      </c>
      <c r="B22" s="1579"/>
      <c r="C22" s="649" t="s">
        <v>839</v>
      </c>
      <c r="D22" s="649" t="s">
        <v>790</v>
      </c>
      <c r="E22" s="1579"/>
      <c r="G22" s="149"/>
      <c r="H22" s="641"/>
    </row>
    <row r="23" spans="1:22" ht="22.5" x14ac:dyDescent="0.25">
      <c r="A23" s="650" t="s">
        <v>841</v>
      </c>
      <c r="B23" s="651">
        <v>0.2</v>
      </c>
      <c r="C23" s="651">
        <v>0.2</v>
      </c>
      <c r="D23" s="651">
        <v>0.2</v>
      </c>
      <c r="E23" s="651">
        <v>0.1</v>
      </c>
      <c r="G23" s="149"/>
      <c r="H23" s="641"/>
    </row>
    <row r="24" spans="1:22" ht="22.5" x14ac:dyDescent="0.25">
      <c r="A24" s="649" t="s">
        <v>842</v>
      </c>
      <c r="B24" s="652">
        <v>0.2</v>
      </c>
      <c r="C24" s="652">
        <v>0.2</v>
      </c>
      <c r="D24" s="652">
        <v>0.2</v>
      </c>
      <c r="E24" s="652">
        <v>0.15</v>
      </c>
      <c r="G24" s="149"/>
      <c r="H24" s="641"/>
      <c r="J24" s="497" t="s">
        <v>653</v>
      </c>
      <c r="K24" s="496"/>
    </row>
    <row r="25" spans="1:22" ht="22.5" x14ac:dyDescent="0.25">
      <c r="A25" s="650" t="s">
        <v>843</v>
      </c>
      <c r="B25" s="651">
        <v>0.3</v>
      </c>
      <c r="C25" s="651">
        <v>0.3</v>
      </c>
      <c r="D25" s="651">
        <v>0.3</v>
      </c>
      <c r="E25" s="651">
        <v>0.2</v>
      </c>
      <c r="G25" s="149"/>
      <c r="H25" s="641"/>
      <c r="K25" s="18"/>
    </row>
    <row r="26" spans="1:22" ht="22.5" x14ac:dyDescent="0.25">
      <c r="A26" s="649" t="s">
        <v>844</v>
      </c>
      <c r="B26" s="652">
        <v>0.3</v>
      </c>
      <c r="C26" s="652">
        <v>0.3</v>
      </c>
      <c r="D26" s="652">
        <v>0.3</v>
      </c>
      <c r="E26" s="652">
        <v>0.25</v>
      </c>
      <c r="G26" s="149"/>
      <c r="H26" s="641"/>
      <c r="J26" s="530" t="s">
        <v>648</v>
      </c>
      <c r="K26" s="373">
        <f ca="1">'FORM 10E'!I47</f>
        <v>1222040</v>
      </c>
      <c r="L26" s="1590" t="s">
        <v>652</v>
      </c>
      <c r="M26" s="1591"/>
      <c r="N26" s="489"/>
      <c r="O26" s="271" t="s">
        <v>544</v>
      </c>
      <c r="P26" s="490">
        <f ca="1">K26</f>
        <v>1222040</v>
      </c>
      <c r="Q26" s="255"/>
      <c r="R26" s="255"/>
    </row>
    <row r="27" spans="1:22" ht="27" x14ac:dyDescent="0.25">
      <c r="A27" s="650" t="s">
        <v>845</v>
      </c>
      <c r="B27" s="651">
        <v>0.3</v>
      </c>
      <c r="C27" s="651">
        <v>0.3</v>
      </c>
      <c r="D27" s="651">
        <v>0.3</v>
      </c>
      <c r="E27" s="651">
        <v>0.3</v>
      </c>
      <c r="G27" s="149"/>
      <c r="J27" s="361" t="s">
        <v>308</v>
      </c>
      <c r="K27" s="364" t="s">
        <v>305</v>
      </c>
      <c r="L27" s="364" t="s">
        <v>309</v>
      </c>
      <c r="M27" s="364" t="s">
        <v>307</v>
      </c>
      <c r="N27" s="489"/>
      <c r="O27" s="255" t="s">
        <v>311</v>
      </c>
      <c r="P27" s="255" t="s">
        <v>312</v>
      </c>
      <c r="Q27" s="255" t="s">
        <v>313</v>
      </c>
      <c r="R27" s="255" t="s">
        <v>314</v>
      </c>
    </row>
    <row r="28" spans="1:22" x14ac:dyDescent="0.25">
      <c r="A28" s="1580" t="s">
        <v>846</v>
      </c>
      <c r="B28" s="1581"/>
      <c r="C28" s="1581"/>
      <c r="D28" s="1581"/>
      <c r="E28" s="1582"/>
      <c r="J28" s="491">
        <f>ANNEXURE!M48</f>
        <v>400000</v>
      </c>
      <c r="K28" s="491">
        <f ca="1">IF(K26&lt;=J28,K26-0,J28)</f>
        <v>400000</v>
      </c>
      <c r="L28" s="491">
        <v>0</v>
      </c>
      <c r="M28" s="491">
        <f ca="1">ROUND(K28*L28,0)</f>
        <v>0</v>
      </c>
      <c r="N28" s="489"/>
      <c r="O28" s="270">
        <f>INDEX(ANNEXURE!AJ47:AJ50,MATCH(ANNEXURE!AI44,ANNEXURE!AG47:AG50,0),1)</f>
        <v>250000</v>
      </c>
      <c r="P28" s="270">
        <f ca="1">IF(P26&lt;=O28,P26-0,O28)</f>
        <v>250000</v>
      </c>
      <c r="Q28" s="270">
        <v>0</v>
      </c>
      <c r="R28" s="270">
        <f ca="1">ROUND(P28*Q28,0)</f>
        <v>0</v>
      </c>
    </row>
    <row r="29" spans="1:22" x14ac:dyDescent="0.25">
      <c r="A29" s="1571" t="s">
        <v>847</v>
      </c>
      <c r="B29" s="1572"/>
      <c r="C29" s="1572"/>
      <c r="D29" s="1572"/>
      <c r="E29" s="1573"/>
      <c r="J29" s="491">
        <f>ANNEXURE!M49</f>
        <v>800000</v>
      </c>
      <c r="K29" s="491">
        <f ca="1">MAX(IF(K26&lt;=J29,K26-J28,J29-J28),IF(K26&gt;J28,,0))</f>
        <v>400000</v>
      </c>
      <c r="L29" s="491">
        <v>0.05</v>
      </c>
      <c r="M29" s="491">
        <f ca="1">ROUND(K29*L29,0)</f>
        <v>20000</v>
      </c>
      <c r="N29" s="489"/>
      <c r="O29" s="270">
        <v>500000</v>
      </c>
      <c r="P29" s="270">
        <f ca="1">MAX(IF(P26&lt;=O29,P26-O28,O29-O28),IF(P26&gt;O28,,0))</f>
        <v>250000</v>
      </c>
      <c r="Q29" s="270">
        <v>0.05</v>
      </c>
      <c r="R29" s="270">
        <f ca="1">ROUND(P29*Q29,0)</f>
        <v>12500</v>
      </c>
    </row>
    <row r="30" spans="1:22" ht="28.9" customHeight="1" x14ac:dyDescent="0.25">
      <c r="A30" s="1568" t="s">
        <v>848</v>
      </c>
      <c r="B30" s="1569"/>
      <c r="C30" s="1569"/>
      <c r="D30" s="1569"/>
      <c r="E30" s="1570"/>
      <c r="J30" s="491">
        <f>ANNEXURE!M50</f>
        <v>1200000</v>
      </c>
      <c r="K30" s="491">
        <f ca="1">MAX(IF(K26&lt;=J30,K26-J29,J30-J29),IF(K26&gt;J29,,0))</f>
        <v>400000</v>
      </c>
      <c r="L30" s="491">
        <v>0.1</v>
      </c>
      <c r="M30" s="491">
        <f ca="1">ROUND(K30*L30,0)</f>
        <v>40000</v>
      </c>
      <c r="N30" s="489"/>
      <c r="O30" s="270">
        <v>1000000</v>
      </c>
      <c r="P30" s="270">
        <f ca="1">MAX(IF(P26&lt;=O30,P26-O29,O30-O29),IF(P26&gt;O29,,0))</f>
        <v>500000</v>
      </c>
      <c r="Q30" s="270">
        <v>0.2</v>
      </c>
      <c r="R30" s="270">
        <f ca="1">ROUND(P30*Q30,0)</f>
        <v>100000</v>
      </c>
    </row>
    <row r="31" spans="1:22" ht="15" customHeight="1" x14ac:dyDescent="0.25">
      <c r="A31" s="653" t="s">
        <v>849</v>
      </c>
      <c r="B31" s="653" t="s">
        <v>850</v>
      </c>
      <c r="C31" s="653" t="s">
        <v>851</v>
      </c>
      <c r="D31" s="653" t="s">
        <v>852</v>
      </c>
      <c r="E31" s="647"/>
      <c r="J31" s="491">
        <f>ANNEXURE!M51</f>
        <v>1600000</v>
      </c>
      <c r="K31" s="491">
        <f ca="1">MAX(IF(K26&lt;=J31,K26-J30,J31-J30),IF(K26&gt;J30,,0))</f>
        <v>22040</v>
      </c>
      <c r="L31" s="491">
        <v>0.15</v>
      </c>
      <c r="M31" s="491">
        <f ca="1">ROUND(K31*L31,0)</f>
        <v>3306</v>
      </c>
      <c r="N31" s="489"/>
      <c r="O31" s="270" t="s">
        <v>315</v>
      </c>
      <c r="P31" s="270">
        <f ca="1">MAX(P26&gt;O30,P26-O30,0)</f>
        <v>222040</v>
      </c>
      <c r="Q31" s="270">
        <v>0.3</v>
      </c>
      <c r="R31" s="270">
        <f ca="1">ROUND(P31*Q31,0)</f>
        <v>66612</v>
      </c>
    </row>
    <row r="32" spans="1:22" x14ac:dyDescent="0.25">
      <c r="A32" s="654">
        <v>0.1</v>
      </c>
      <c r="B32" s="654">
        <v>0.15</v>
      </c>
      <c r="C32" s="654">
        <v>0.25</v>
      </c>
      <c r="D32" s="654">
        <v>0.37</v>
      </c>
      <c r="E32" s="647"/>
      <c r="J32" s="491">
        <f>ANNEXURE!M52</f>
        <v>2000000</v>
      </c>
      <c r="K32" s="491">
        <f ca="1">MAX(IF(K26&lt;=J32,K26-J31,J32-J31),IF(K26&gt;J31,,0))</f>
        <v>0</v>
      </c>
      <c r="L32" s="491">
        <v>0.2</v>
      </c>
      <c r="M32" s="491">
        <f ca="1">ROUND(K32*L32,0)</f>
        <v>0</v>
      </c>
      <c r="N32" s="489"/>
      <c r="O32" s="492" t="s">
        <v>299</v>
      </c>
      <c r="P32" s="270"/>
      <c r="Q32" s="270"/>
      <c r="R32" s="270">
        <f ca="1">ROUND(SUM(R28:R31),0)</f>
        <v>179112</v>
      </c>
    </row>
    <row r="33" spans="1:18" x14ac:dyDescent="0.25">
      <c r="A33" s="1571" t="s">
        <v>853</v>
      </c>
      <c r="B33" s="1572"/>
      <c r="C33" s="1572"/>
      <c r="D33" s="1572"/>
      <c r="E33" s="1573"/>
      <c r="J33" s="491"/>
      <c r="K33" s="491"/>
      <c r="L33" s="491"/>
      <c r="M33" s="491"/>
      <c r="N33" s="489"/>
      <c r="O33" s="270" t="s">
        <v>650</v>
      </c>
      <c r="P33" s="270">
        <f ca="1">IF(P26&lt;250001,0,IF(P26&gt;500000,0,IF(R32&lt;=12500,R32,12500)))</f>
        <v>0</v>
      </c>
      <c r="Q33" s="270" t="s">
        <v>649</v>
      </c>
      <c r="R33" s="270">
        <f ca="1">IF(AND(P26&lt;=500000),0,ROUND(R32*4%,0.1))</f>
        <v>7164</v>
      </c>
    </row>
    <row r="34" spans="1:18" ht="15.75" thickBot="1" x14ac:dyDescent="0.3">
      <c r="A34" s="1574" t="s">
        <v>854</v>
      </c>
      <c r="B34" s="1575"/>
      <c r="C34" s="1575"/>
      <c r="D34" s="1575"/>
      <c r="E34" s="1576"/>
      <c r="J34" s="491" t="s">
        <v>310</v>
      </c>
      <c r="K34" s="491">
        <f ca="1">MAX(IF(K26&lt;=J34,K26-J32,J34-J32),IF(K26&gt;J32,,0))</f>
        <v>0</v>
      </c>
      <c r="L34" s="491">
        <v>0.3</v>
      </c>
      <c r="M34" s="491">
        <f ca="1">ROUND(K34*L34,0)</f>
        <v>0</v>
      </c>
      <c r="N34" s="489"/>
      <c r="O34" s="154"/>
      <c r="P34" s="154"/>
      <c r="Q34" s="493" t="s">
        <v>105</v>
      </c>
      <c r="R34" s="493">
        <f ca="1">ROUND(SUM(R32,R33)-P33,0)</f>
        <v>186276</v>
      </c>
    </row>
    <row r="35" spans="1:18" x14ac:dyDescent="0.25">
      <c r="J35" s="491" t="s">
        <v>299</v>
      </c>
      <c r="K35" s="491"/>
      <c r="L35" s="491"/>
      <c r="M35" s="491">
        <f ca="1">ROUND(SUM(M28:M34),0)</f>
        <v>63306</v>
      </c>
      <c r="N35" s="489"/>
      <c r="O35" s="154"/>
      <c r="P35" s="154"/>
      <c r="Q35" s="154"/>
      <c r="R35" s="154"/>
    </row>
    <row r="36" spans="1:18" x14ac:dyDescent="0.25">
      <c r="J36" s="491" t="s">
        <v>650</v>
      </c>
      <c r="K36" s="491">
        <f ca="1">IF(K26&lt;250001,0,IF(K26&gt;500000,0,IF(M35&lt;=12500,M35,12500)))</f>
        <v>0</v>
      </c>
      <c r="L36" s="194" t="s">
        <v>651</v>
      </c>
      <c r="M36" s="494">
        <f ca="1">IF(AND(K26&lt;=500000),0,ROUND(M35*4%,0.1))</f>
        <v>2532</v>
      </c>
      <c r="N36" s="489"/>
      <c r="O36" s="154"/>
      <c r="P36" s="154"/>
      <c r="Q36" s="154"/>
      <c r="R36" s="154"/>
    </row>
    <row r="37" spans="1:18" x14ac:dyDescent="0.25">
      <c r="J37" s="194"/>
      <c r="K37" s="194"/>
      <c r="L37" s="495" t="s">
        <v>105</v>
      </c>
      <c r="M37" s="495">
        <f ca="1">ROUND(SUM(M35,M36)-K36,0)</f>
        <v>65838</v>
      </c>
      <c r="N37" s="489"/>
      <c r="O37" s="154"/>
      <c r="P37" s="154"/>
      <c r="Q37" s="154"/>
      <c r="R37" s="154"/>
    </row>
    <row r="39" spans="1:18" ht="39" customHeight="1" x14ac:dyDescent="0.25"/>
    <row r="51" ht="19.899999999999999" customHeight="1" x14ac:dyDescent="0.25"/>
  </sheetData>
  <mergeCells count="22">
    <mergeCell ref="L26:M26"/>
    <mergeCell ref="P21:R21"/>
    <mergeCell ref="P9:R9"/>
    <mergeCell ref="P1:R2"/>
    <mergeCell ref="J2:M2"/>
    <mergeCell ref="P3:P4"/>
    <mergeCell ref="Q15:Q17"/>
    <mergeCell ref="R15:R16"/>
    <mergeCell ref="A2:D2"/>
    <mergeCell ref="A1:G1"/>
    <mergeCell ref="E2:G2"/>
    <mergeCell ref="T3:V3"/>
    <mergeCell ref="T2:V2"/>
    <mergeCell ref="A30:E30"/>
    <mergeCell ref="A33:E33"/>
    <mergeCell ref="A34:E34"/>
    <mergeCell ref="A18:A19"/>
    <mergeCell ref="B18:D18"/>
    <mergeCell ref="B21:B22"/>
    <mergeCell ref="E21:E22"/>
    <mergeCell ref="A28:E28"/>
    <mergeCell ref="A29:E29"/>
  </mergeCells>
  <hyperlinks>
    <hyperlink ref="A30" r:id="rId1" display="https://tax2win.in/guide/marginal-relief-surcharge" xr:uid="{1F9E5EB8-118F-493D-9562-E13CD4AF4EB6}"/>
    <hyperlink ref="A34" r:id="rId2" display="https://tax2win.in/guide/section-87a" xr:uid="{99128C29-097A-4A3C-8123-FB382AA9841B}"/>
  </hyperlinks>
  <pageMargins left="0.7" right="0.7" top="0.75" bottom="0.75" header="0.3" footer="0.3"/>
  <pageSetup paperSize="9" orientation="portrait" r:id="rId3"/>
</worksheet>
</file>

<file path=xl/worksheets/sheet1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8B47B5A4-C279-479F-B844-997A015B55C6}">
  <sheetPr codeName="Sheet10"/>
  <dimension ref="A1:DI20"/>
  <sheetViews>
    <sheetView topLeftCell="A15" workbookViewId="0">
      <selection activeCell="DG16" sqref="DG16"/>
    </sheetView>
  </sheetViews>
  <sheetFormatPr defaultColWidth="9.28515625" defaultRowHeight="15" x14ac:dyDescent="0.25"/>
  <cols>
    <col min="1" max="1" width="16" style="205" customWidth="1"/>
    <col min="2" max="2" width="52.42578125" style="206" customWidth="1"/>
    <col min="3" max="3" width="19.42578125" style="206" hidden="1" customWidth="1"/>
    <col min="4" max="4" width="24.7109375" style="206" hidden="1" customWidth="1"/>
    <col min="5" max="5" width="33.42578125" style="206" hidden="1" customWidth="1"/>
    <col min="6" max="6" width="49.28515625" style="206" hidden="1" customWidth="1"/>
    <col min="7" max="7" width="55.7109375" style="206" hidden="1" customWidth="1"/>
    <col min="8" max="8" width="58.28515625" style="206" hidden="1" customWidth="1"/>
    <col min="9" max="9" width="43.42578125" style="206" hidden="1" customWidth="1"/>
    <col min="10" max="10" width="47.28515625" style="206" hidden="1" customWidth="1"/>
    <col min="11" max="11" width="26.5703125" style="206" hidden="1" customWidth="1"/>
    <col min="12" max="12" width="20.5703125" style="206" hidden="1" customWidth="1"/>
    <col min="13" max="13" width="25.42578125" style="206" hidden="1" customWidth="1"/>
    <col min="14" max="14" width="44.5703125" style="206" hidden="1" customWidth="1"/>
    <col min="15" max="15" width="27.42578125" style="206" hidden="1" customWidth="1"/>
    <col min="16" max="16" width="29.5703125" style="206" hidden="1" customWidth="1"/>
    <col min="17" max="17" width="119.7109375" style="206" hidden="1" customWidth="1"/>
    <col min="18" max="87" width="0" style="206" hidden="1" customWidth="1"/>
    <col min="88" max="108" width="9.28515625" style="206" hidden="1" customWidth="1"/>
    <col min="109" max="109" width="0" style="206" hidden="1" customWidth="1"/>
    <col min="110" max="16384" width="9.28515625" style="206"/>
  </cols>
  <sheetData>
    <row r="1" spans="1:113" hidden="1" x14ac:dyDescent="0.25"/>
    <row r="2" spans="1:113" s="207" customFormat="1" hidden="1" x14ac:dyDescent="0.25">
      <c r="A2" s="205"/>
      <c r="G2" s="207">
        <v>1</v>
      </c>
      <c r="H2" s="207">
        <v>2</v>
      </c>
      <c r="I2" s="207">
        <v>3</v>
      </c>
      <c r="J2" s="207">
        <v>4</v>
      </c>
      <c r="K2" s="207">
        <v>5</v>
      </c>
      <c r="L2" s="207">
        <v>6</v>
      </c>
      <c r="M2" s="207">
        <v>7</v>
      </c>
      <c r="Q2" s="207">
        <v>8</v>
      </c>
      <c r="R2" s="207">
        <v>9</v>
      </c>
      <c r="S2" s="207">
        <v>10</v>
      </c>
      <c r="T2" s="207">
        <v>11</v>
      </c>
      <c r="U2" s="207">
        <v>12</v>
      </c>
      <c r="V2" s="207">
        <v>13</v>
      </c>
      <c r="W2" s="207">
        <v>14</v>
      </c>
      <c r="X2" s="207">
        <v>15</v>
      </c>
      <c r="Y2" s="207">
        <v>16</v>
      </c>
      <c r="Z2" s="207">
        <v>17</v>
      </c>
      <c r="AA2" s="207">
        <v>18</v>
      </c>
      <c r="AB2" s="207">
        <v>19</v>
      </c>
      <c r="AC2" s="207">
        <v>20</v>
      </c>
      <c r="AD2" s="207">
        <v>21</v>
      </c>
      <c r="AE2" s="207">
        <v>22</v>
      </c>
      <c r="AF2" s="207">
        <v>23</v>
      </c>
      <c r="AG2" s="207">
        <v>24</v>
      </c>
      <c r="AH2" s="207">
        <v>25</v>
      </c>
      <c r="AI2" s="207">
        <v>26</v>
      </c>
      <c r="AJ2" s="207">
        <v>27</v>
      </c>
      <c r="AK2" s="207">
        <v>28</v>
      </c>
      <c r="AL2" s="207">
        <v>29</v>
      </c>
      <c r="AM2" s="207">
        <v>30</v>
      </c>
      <c r="AN2" s="207">
        <v>31</v>
      </c>
      <c r="AO2" s="207">
        <v>32</v>
      </c>
      <c r="AP2" s="207">
        <v>33</v>
      </c>
      <c r="AQ2" s="207">
        <v>34</v>
      </c>
      <c r="AR2" s="207">
        <v>35</v>
      </c>
      <c r="AS2" s="207">
        <v>36</v>
      </c>
      <c r="AT2" s="207">
        <v>37</v>
      </c>
      <c r="AU2" s="207">
        <v>38</v>
      </c>
      <c r="AV2" s="207">
        <v>39</v>
      </c>
      <c r="AW2" s="207">
        <v>40</v>
      </c>
      <c r="AX2" s="207">
        <v>41</v>
      </c>
      <c r="AY2" s="207">
        <v>42</v>
      </c>
      <c r="AZ2" s="207">
        <v>43</v>
      </c>
      <c r="BA2" s="207">
        <v>44</v>
      </c>
      <c r="BB2" s="207">
        <v>45</v>
      </c>
      <c r="BC2" s="207">
        <v>46</v>
      </c>
      <c r="BD2" s="207">
        <v>47</v>
      </c>
      <c r="BE2" s="207">
        <v>48</v>
      </c>
      <c r="BF2" s="207">
        <v>49</v>
      </c>
      <c r="BG2" s="207">
        <v>50</v>
      </c>
      <c r="BH2" s="207">
        <v>51</v>
      </c>
      <c r="BI2" s="207">
        <v>52</v>
      </c>
      <c r="BJ2" s="207">
        <v>53</v>
      </c>
      <c r="BK2" s="207">
        <v>54</v>
      </c>
      <c r="BL2" s="207">
        <v>55</v>
      </c>
      <c r="BM2" s="207">
        <v>56</v>
      </c>
      <c r="BN2" s="207">
        <v>57</v>
      </c>
      <c r="BO2" s="207">
        <v>58</v>
      </c>
      <c r="BP2" s="207">
        <v>59</v>
      </c>
      <c r="BQ2" s="207">
        <v>60</v>
      </c>
      <c r="BR2" s="207">
        <v>61</v>
      </c>
      <c r="BS2" s="207">
        <v>62</v>
      </c>
      <c r="BT2" s="207">
        <v>63</v>
      </c>
      <c r="BU2" s="207">
        <v>64</v>
      </c>
      <c r="BV2" s="207">
        <v>65</v>
      </c>
      <c r="BW2" s="207">
        <v>66</v>
      </c>
      <c r="BX2" s="207">
        <v>67</v>
      </c>
      <c r="BY2" s="207">
        <v>68</v>
      </c>
      <c r="BZ2" s="207">
        <v>69</v>
      </c>
      <c r="CA2" s="207">
        <v>70</v>
      </c>
      <c r="CB2" s="207">
        <v>71</v>
      </c>
      <c r="CC2" s="207">
        <v>72</v>
      </c>
      <c r="CD2" s="207">
        <v>73</v>
      </c>
      <c r="CE2" s="207">
        <v>74</v>
      </c>
      <c r="CF2" s="207">
        <v>75</v>
      </c>
      <c r="CG2" s="207">
        <v>76</v>
      </c>
      <c r="CH2" s="207">
        <v>77</v>
      </c>
      <c r="CI2" s="207">
        <v>78</v>
      </c>
      <c r="CJ2" s="207">
        <v>79</v>
      </c>
      <c r="CK2" s="207">
        <v>80</v>
      </c>
      <c r="CL2" s="207">
        <v>81</v>
      </c>
      <c r="CM2" s="207">
        <v>82</v>
      </c>
      <c r="CN2" s="207">
        <v>83</v>
      </c>
      <c r="CO2" s="207">
        <v>84</v>
      </c>
      <c r="CP2" s="207">
        <v>85</v>
      </c>
      <c r="CQ2" s="207">
        <v>86</v>
      </c>
      <c r="CR2" s="207">
        <v>87</v>
      </c>
      <c r="CS2" s="207">
        <v>88</v>
      </c>
      <c r="CT2" s="207">
        <v>89</v>
      </c>
      <c r="CU2" s="207">
        <v>90</v>
      </c>
      <c r="CV2" s="207">
        <v>91</v>
      </c>
      <c r="CW2" s="207">
        <v>92</v>
      </c>
      <c r="CX2" s="207">
        <v>93</v>
      </c>
      <c r="CY2" s="207">
        <v>94</v>
      </c>
      <c r="CZ2" s="207">
        <v>95</v>
      </c>
      <c r="DA2" s="207">
        <v>96</v>
      </c>
      <c r="DB2" s="207">
        <v>97</v>
      </c>
      <c r="DC2" s="207">
        <v>98</v>
      </c>
      <c r="DD2" s="207">
        <v>99</v>
      </c>
    </row>
    <row r="3" spans="1:113" s="207" customFormat="1" hidden="1" x14ac:dyDescent="0.25">
      <c r="A3" s="205"/>
      <c r="F3" s="207">
        <v>0</v>
      </c>
      <c r="G3" s="207" t="s">
        <v>338</v>
      </c>
      <c r="H3" s="207" t="s">
        <v>339</v>
      </c>
      <c r="I3" s="207" t="s">
        <v>340</v>
      </c>
      <c r="J3" s="207" t="s">
        <v>341</v>
      </c>
      <c r="K3" s="207" t="s">
        <v>342</v>
      </c>
      <c r="L3" s="207" t="s">
        <v>343</v>
      </c>
      <c r="M3" s="207" t="s">
        <v>344</v>
      </c>
      <c r="Q3" s="207" t="s">
        <v>345</v>
      </c>
      <c r="R3" s="207" t="s">
        <v>346</v>
      </c>
      <c r="S3" s="207" t="s">
        <v>347</v>
      </c>
      <c r="T3" s="207" t="s">
        <v>348</v>
      </c>
      <c r="U3" s="207" t="s">
        <v>349</v>
      </c>
      <c r="V3" s="207" t="s">
        <v>350</v>
      </c>
      <c r="W3" s="207" t="s">
        <v>351</v>
      </c>
      <c r="X3" s="207" t="s">
        <v>352</v>
      </c>
      <c r="Y3" s="207" t="s">
        <v>353</v>
      </c>
      <c r="Z3" s="207" t="s">
        <v>354</v>
      </c>
      <c r="AA3" s="207" t="s">
        <v>355</v>
      </c>
      <c r="AB3" s="207" t="s">
        <v>356</v>
      </c>
      <c r="AC3" s="207" t="s">
        <v>357</v>
      </c>
      <c r="AD3" s="207" t="s">
        <v>358</v>
      </c>
      <c r="AE3" s="207" t="s">
        <v>359</v>
      </c>
      <c r="AF3" s="207" t="s">
        <v>360</v>
      </c>
      <c r="AG3" s="207" t="s">
        <v>361</v>
      </c>
      <c r="AH3" s="207" t="s">
        <v>362</v>
      </c>
      <c r="AI3" s="207" t="s">
        <v>363</v>
      </c>
      <c r="AJ3" s="207" t="s">
        <v>364</v>
      </c>
      <c r="AK3" s="207" t="s">
        <v>365</v>
      </c>
      <c r="AL3" s="207" t="s">
        <v>366</v>
      </c>
      <c r="AM3" s="207" t="s">
        <v>367</v>
      </c>
      <c r="AN3" s="207" t="s">
        <v>368</v>
      </c>
      <c r="AO3" s="207" t="s">
        <v>369</v>
      </c>
      <c r="AP3" s="207" t="s">
        <v>370</v>
      </c>
      <c r="AQ3" s="207" t="s">
        <v>371</v>
      </c>
      <c r="AR3" s="207" t="s">
        <v>372</v>
      </c>
      <c r="AS3" s="207" t="s">
        <v>373</v>
      </c>
      <c r="AT3" s="207" t="s">
        <v>374</v>
      </c>
      <c r="AU3" s="207" t="s">
        <v>375</v>
      </c>
      <c r="AV3" s="207" t="s">
        <v>376</v>
      </c>
      <c r="AW3" s="207" t="s">
        <v>377</v>
      </c>
      <c r="AX3" s="207" t="s">
        <v>378</v>
      </c>
      <c r="AY3" s="207" t="s">
        <v>379</v>
      </c>
      <c r="AZ3" s="207" t="s">
        <v>380</v>
      </c>
      <c r="BA3" s="207" t="s">
        <v>381</v>
      </c>
      <c r="BB3" s="207" t="s">
        <v>382</v>
      </c>
      <c r="BC3" s="207" t="s">
        <v>383</v>
      </c>
      <c r="BD3" s="207" t="s">
        <v>384</v>
      </c>
      <c r="BE3" s="207" t="s">
        <v>385</v>
      </c>
      <c r="BF3" s="207" t="s">
        <v>386</v>
      </c>
      <c r="BG3" s="207" t="s">
        <v>387</v>
      </c>
      <c r="BH3" s="207" t="s">
        <v>388</v>
      </c>
      <c r="BI3" s="207" t="s">
        <v>389</v>
      </c>
      <c r="BJ3" s="207" t="s">
        <v>390</v>
      </c>
      <c r="BK3" s="207" t="s">
        <v>391</v>
      </c>
      <c r="BL3" s="207" t="s">
        <v>392</v>
      </c>
      <c r="BM3" s="207" t="s">
        <v>393</v>
      </c>
      <c r="BN3" s="207" t="s">
        <v>394</v>
      </c>
      <c r="BO3" s="207" t="s">
        <v>395</v>
      </c>
      <c r="BP3" s="207" t="s">
        <v>396</v>
      </c>
      <c r="BQ3" s="207" t="s">
        <v>397</v>
      </c>
      <c r="BR3" s="207" t="s">
        <v>398</v>
      </c>
      <c r="BS3" s="207" t="s">
        <v>399</v>
      </c>
      <c r="BT3" s="207" t="s">
        <v>400</v>
      </c>
      <c r="BU3" s="207" t="s">
        <v>401</v>
      </c>
      <c r="BV3" s="207" t="s">
        <v>402</v>
      </c>
      <c r="BW3" s="207" t="s">
        <v>403</v>
      </c>
      <c r="BX3" s="207" t="s">
        <v>404</v>
      </c>
      <c r="BY3" s="207" t="s">
        <v>405</v>
      </c>
      <c r="BZ3" s="207" t="s">
        <v>406</v>
      </c>
      <c r="CA3" s="207" t="s">
        <v>407</v>
      </c>
      <c r="CB3" s="207" t="s">
        <v>408</v>
      </c>
      <c r="CC3" s="207" t="s">
        <v>409</v>
      </c>
      <c r="CD3" s="207" t="s">
        <v>410</v>
      </c>
      <c r="CE3" s="207" t="s">
        <v>411</v>
      </c>
      <c r="CF3" s="207" t="s">
        <v>412</v>
      </c>
      <c r="CG3" s="207" t="s">
        <v>413</v>
      </c>
      <c r="CH3" s="207" t="s">
        <v>414</v>
      </c>
      <c r="CI3" s="207" t="s">
        <v>415</v>
      </c>
      <c r="CJ3" s="207" t="s">
        <v>416</v>
      </c>
      <c r="CK3" s="207" t="s">
        <v>417</v>
      </c>
      <c r="CL3" s="207" t="s">
        <v>418</v>
      </c>
      <c r="CM3" s="207" t="s">
        <v>419</v>
      </c>
      <c r="CN3" s="207" t="s">
        <v>420</v>
      </c>
      <c r="CO3" s="207" t="s">
        <v>421</v>
      </c>
      <c r="CP3" s="207" t="s">
        <v>422</v>
      </c>
      <c r="CQ3" s="207" t="s">
        <v>423</v>
      </c>
      <c r="CR3" s="207" t="s">
        <v>424</v>
      </c>
      <c r="CS3" s="207" t="s">
        <v>425</v>
      </c>
      <c r="CT3" s="207" t="s">
        <v>426</v>
      </c>
      <c r="CU3" s="207" t="s">
        <v>427</v>
      </c>
      <c r="CV3" s="207" t="s">
        <v>428</v>
      </c>
      <c r="CW3" s="207" t="s">
        <v>429</v>
      </c>
      <c r="CX3" s="207" t="s">
        <v>430</v>
      </c>
      <c r="CY3" s="207" t="s">
        <v>431</v>
      </c>
      <c r="CZ3" s="207" t="s">
        <v>432</v>
      </c>
      <c r="DA3" s="207" t="s">
        <v>433</v>
      </c>
      <c r="DB3" s="207" t="s">
        <v>434</v>
      </c>
      <c r="DC3" s="207" t="s">
        <v>435</v>
      </c>
      <c r="DD3" s="207" t="s">
        <v>436</v>
      </c>
    </row>
    <row r="4" spans="1:113" hidden="1" x14ac:dyDescent="0.25"/>
    <row r="5" spans="1:113" hidden="1" x14ac:dyDescent="0.25"/>
    <row r="6" spans="1:113" hidden="1" x14ac:dyDescent="0.25"/>
    <row r="7" spans="1:113" hidden="1" x14ac:dyDescent="0.25"/>
    <row r="8" spans="1:113" hidden="1" x14ac:dyDescent="0.25"/>
    <row r="9" spans="1:113" hidden="1" x14ac:dyDescent="0.25"/>
    <row r="10" spans="1:113" hidden="1" x14ac:dyDescent="0.25"/>
    <row r="11" spans="1:113" hidden="1" x14ac:dyDescent="0.25"/>
    <row r="12" spans="1:113" hidden="1" x14ac:dyDescent="0.25"/>
    <row r="13" spans="1:113" ht="35.25" hidden="1" customHeight="1" x14ac:dyDescent="0.25">
      <c r="A13" s="1602"/>
      <c r="B13" s="1602"/>
    </row>
    <row r="14" spans="1:113" s="210" customFormat="1" ht="2.25" hidden="1" customHeight="1" x14ac:dyDescent="0.25">
      <c r="A14" s="208"/>
      <c r="B14" s="209"/>
    </row>
    <row r="15" spans="1:113" ht="38.25" customHeight="1" x14ac:dyDescent="0.25">
      <c r="A15" s="211" t="s">
        <v>437</v>
      </c>
      <c r="B15" s="212" t="s">
        <v>438</v>
      </c>
      <c r="C15" s="213" t="s">
        <v>439</v>
      </c>
      <c r="D15" s="214" t="s">
        <v>440</v>
      </c>
      <c r="E15" s="214" t="s">
        <v>441</v>
      </c>
      <c r="F15" s="214" t="s">
        <v>442</v>
      </c>
      <c r="G15" s="214" t="s">
        <v>443</v>
      </c>
      <c r="H15" s="214" t="s">
        <v>444</v>
      </c>
      <c r="I15" s="214" t="s">
        <v>445</v>
      </c>
      <c r="J15" s="214" t="s">
        <v>446</v>
      </c>
      <c r="K15" s="214" t="s">
        <v>447</v>
      </c>
      <c r="L15" s="214" t="s">
        <v>448</v>
      </c>
      <c r="M15" s="214" t="s">
        <v>449</v>
      </c>
      <c r="N15" s="214" t="s">
        <v>450</v>
      </c>
      <c r="O15" s="214" t="s">
        <v>451</v>
      </c>
      <c r="P15" s="214" t="s">
        <v>452</v>
      </c>
      <c r="Q15" s="214" t="s">
        <v>453</v>
      </c>
      <c r="R15" s="154"/>
      <c r="S15" s="154"/>
      <c r="T15" s="154"/>
      <c r="U15" s="154"/>
      <c r="V15" s="154"/>
      <c r="W15" s="154"/>
      <c r="X15" s="154"/>
      <c r="Y15" s="154"/>
      <c r="Z15" s="154"/>
      <c r="AA15" s="154"/>
      <c r="AB15" s="154"/>
      <c r="AC15" s="154"/>
      <c r="AD15" s="154"/>
      <c r="AE15" s="154"/>
      <c r="AF15" s="154"/>
      <c r="AG15" s="154"/>
      <c r="AH15" s="154"/>
      <c r="AI15" s="154"/>
      <c r="AJ15" s="154"/>
      <c r="AK15" s="154"/>
      <c r="AL15" s="154"/>
      <c r="AM15" s="154"/>
      <c r="AN15" s="154"/>
      <c r="AO15" s="154"/>
      <c r="AP15" s="154"/>
      <c r="AQ15" s="154"/>
      <c r="AR15" s="154"/>
      <c r="AS15" s="154"/>
      <c r="AT15" s="154"/>
      <c r="AU15" s="154"/>
      <c r="AV15" s="154"/>
      <c r="AW15" s="154"/>
      <c r="AX15" s="154"/>
      <c r="AY15" s="154"/>
      <c r="AZ15" s="154"/>
      <c r="BA15" s="154"/>
      <c r="BB15" s="154"/>
      <c r="BC15" s="154"/>
      <c r="BD15" s="154"/>
      <c r="BE15" s="154"/>
      <c r="BF15" s="154"/>
      <c r="BG15" s="154"/>
      <c r="BH15" s="154"/>
      <c r="BI15" s="154"/>
      <c r="BJ15" s="154"/>
      <c r="BK15" s="154"/>
      <c r="BL15" s="154"/>
      <c r="BM15" s="154"/>
      <c r="BN15" s="154"/>
      <c r="BO15" s="154"/>
      <c r="BP15" s="154"/>
      <c r="BQ15" s="154"/>
      <c r="BR15" s="154"/>
      <c r="BS15" s="154"/>
      <c r="BT15" s="154"/>
      <c r="BU15" s="154"/>
      <c r="BV15" s="154"/>
      <c r="BW15" s="154"/>
      <c r="BX15" s="154"/>
      <c r="BY15" s="154"/>
      <c r="BZ15" s="154"/>
      <c r="CA15" s="154"/>
      <c r="CB15" s="154"/>
      <c r="CC15" s="154"/>
      <c r="CD15" s="154"/>
      <c r="CE15" s="154"/>
      <c r="CF15" s="154"/>
      <c r="CG15" s="154"/>
      <c r="CH15" s="154"/>
      <c r="CI15" s="154"/>
      <c r="CJ15" s="154"/>
      <c r="CK15" s="154"/>
      <c r="CL15" s="154"/>
      <c r="CM15" s="154"/>
      <c r="CN15" s="154"/>
      <c r="CO15" s="154"/>
      <c r="CP15" s="154"/>
      <c r="CQ15" s="154"/>
      <c r="CR15" s="154"/>
      <c r="CS15" s="154"/>
      <c r="CT15" s="154"/>
      <c r="CU15" s="154"/>
      <c r="CV15" s="154"/>
      <c r="CW15" s="154"/>
      <c r="CX15" s="154"/>
      <c r="CY15" s="154"/>
      <c r="CZ15" s="154"/>
      <c r="DA15" s="154"/>
      <c r="DB15" s="154"/>
      <c r="DC15" s="154"/>
      <c r="DD15" s="154"/>
      <c r="DE15" s="154"/>
      <c r="DF15" s="154"/>
    </row>
    <row r="16" spans="1:113" ht="30" customHeight="1" x14ac:dyDescent="0.25">
      <c r="A16" s="217">
        <f ca="1">DG16</f>
        <v>22922</v>
      </c>
      <c r="B16" s="249" t="str">
        <f t="shared" ref="B16:B20" ca="1" si="0">IF(A16="","",CONCATENATE("(",Q16," rupees only)"))</f>
        <v>(Twenty two Thousand Nine Hundred and Twenty two rupees only)</v>
      </c>
      <c r="C16" s="215">
        <f ca="1">INT(A16/100000)</f>
        <v>0</v>
      </c>
      <c r="D16" s="216">
        <f ca="1">INT(A16/1000-C16*100)</f>
        <v>22</v>
      </c>
      <c r="E16" s="216">
        <f ca="1">INT(A16/100-C16*1000-D16*10)</f>
        <v>9</v>
      </c>
      <c r="F16" s="216">
        <f ca="1">INT(A16-C16*100000-D16*1000-E16*100)</f>
        <v>22</v>
      </c>
      <c r="G16" s="216" t="str">
        <f ca="1">IF(C16=0,"",LOOKUP(C16,$G$2:$DD$2,$G$3:$DD$3))</f>
        <v/>
      </c>
      <c r="H16" s="216" t="str">
        <f ca="1">IF(D16=0,"",LOOKUP(D16,$G$2:$DD$2,$G$3:$DD$3))</f>
        <v>Twenty two</v>
      </c>
      <c r="I16" s="216" t="str">
        <f ca="1">IF(E16=0,"",LOOKUP(E16,$G$2:$R$2,$G$3:$R$3))</f>
        <v>Nine</v>
      </c>
      <c r="J16" s="216" t="str">
        <f ca="1">IF(F16=0,"",LOOKUP(F16,$G$2:$DD$2,$G$3:$DD$3))</f>
        <v>Twenty two</v>
      </c>
      <c r="K16" s="216">
        <f ca="1">IF(AND(E16=0,F16=0),1,2)</f>
        <v>2</v>
      </c>
      <c r="L16" s="216">
        <f ca="1">IF(F16=0,3,4)</f>
        <v>4</v>
      </c>
      <c r="M16" s="216">
        <f ca="1">IF(OR(K16=1,L16=3),5,6)</f>
        <v>6</v>
      </c>
      <c r="N16" s="216" t="str">
        <f ca="1">IF(C16&gt;1," Lakhs ",IF(C16&gt;0," Lakh ",""))</f>
        <v/>
      </c>
      <c r="O16" s="216" t="str">
        <f ca="1">IF(D16&gt;0," Thousand ","")</f>
        <v xml:space="preserve"> Thousand </v>
      </c>
      <c r="P16" s="216" t="str">
        <f ca="1">IF(E16&gt;0," Hundred ","")</f>
        <v xml:space="preserve"> Hundred </v>
      </c>
      <c r="Q16" s="216" t="str">
        <f ca="1">IF(A16=0,"Zero",IF(A16&gt;0,TRIM(CONCATENATE(G16,N16,H16,O16,I16,P16,IF(AND(A16&gt;100,M16=6)," and ",""),J16)),""))</f>
        <v>Twenty two Thousand Nine Hundred and Twenty two</v>
      </c>
      <c r="R16" s="154"/>
      <c r="S16" s="154"/>
      <c r="T16" s="154"/>
      <c r="U16" s="154"/>
      <c r="V16" s="154"/>
      <c r="W16" s="154"/>
      <c r="X16" s="154"/>
      <c r="Y16" s="154"/>
      <c r="Z16" s="154"/>
      <c r="AA16" s="154"/>
      <c r="AB16" s="154"/>
      <c r="AC16" s="154"/>
      <c r="AD16" s="154"/>
      <c r="AE16" s="154"/>
      <c r="AF16" s="154"/>
      <c r="AG16" s="154"/>
      <c r="AH16" s="154"/>
      <c r="AI16" s="154"/>
      <c r="AJ16" s="154"/>
      <c r="AK16" s="154"/>
      <c r="AL16" s="154"/>
      <c r="AM16" s="154"/>
      <c r="AN16" s="154"/>
      <c r="AO16" s="154"/>
      <c r="AP16" s="154"/>
      <c r="AQ16" s="154"/>
      <c r="AR16" s="154"/>
      <c r="AS16" s="154"/>
      <c r="AT16" s="154"/>
      <c r="AU16" s="154"/>
      <c r="AV16" s="154"/>
      <c r="AW16" s="154"/>
      <c r="AX16" s="154"/>
      <c r="AY16" s="154"/>
      <c r="AZ16" s="154"/>
      <c r="BA16" s="154"/>
      <c r="BB16" s="154"/>
      <c r="BC16" s="154"/>
      <c r="BD16" s="154"/>
      <c r="BE16" s="154"/>
      <c r="BF16" s="154"/>
      <c r="BG16" s="154"/>
      <c r="BH16" s="154"/>
      <c r="BI16" s="154"/>
      <c r="BJ16" s="154"/>
      <c r="BK16" s="154"/>
      <c r="BL16" s="154"/>
      <c r="BM16" s="154"/>
      <c r="BN16" s="154"/>
      <c r="BO16" s="154"/>
      <c r="BP16" s="154"/>
      <c r="BQ16" s="154"/>
      <c r="BR16" s="154"/>
      <c r="BS16" s="154"/>
      <c r="BT16" s="154"/>
      <c r="BU16" s="154"/>
      <c r="BV16" s="154"/>
      <c r="BW16" s="154"/>
      <c r="BX16" s="154"/>
      <c r="BY16" s="154"/>
      <c r="BZ16" s="154"/>
      <c r="CA16" s="154"/>
      <c r="CB16" s="154"/>
      <c r="CC16" s="154"/>
      <c r="CD16" s="154"/>
      <c r="CE16" s="154"/>
      <c r="CF16" s="154"/>
      <c r="CG16" s="154"/>
      <c r="CH16" s="154"/>
      <c r="CI16" s="154"/>
      <c r="CJ16" s="154"/>
      <c r="CK16" s="154"/>
      <c r="CL16" s="154"/>
      <c r="CM16" s="154"/>
      <c r="CN16" s="154"/>
      <c r="CO16" s="154"/>
      <c r="CP16" s="154"/>
      <c r="CQ16" s="154"/>
      <c r="CR16" s="154"/>
      <c r="CS16" s="154"/>
      <c r="CT16" s="154"/>
      <c r="CU16" s="154"/>
      <c r="CV16" s="154"/>
      <c r="CW16" s="154"/>
      <c r="CX16" s="154"/>
      <c r="CY16" s="154"/>
      <c r="CZ16" s="154"/>
      <c r="DA16" s="154"/>
      <c r="DB16" s="154"/>
      <c r="DC16" s="154"/>
      <c r="DD16" s="154"/>
      <c r="DE16" s="154"/>
      <c r="DF16" s="154"/>
      <c r="DG16" s="206">
        <f ca="1">IF(DH16&lt;0,-DH16,DH16)</f>
        <v>22922</v>
      </c>
      <c r="DH16" s="239">
        <f ca="1">'Form 16-P2'!P21</f>
        <v>22922</v>
      </c>
      <c r="DI16" s="474"/>
    </row>
    <row r="17" spans="1:110" ht="23.25" x14ac:dyDescent="0.25">
      <c r="A17" s="217">
        <f>ANNEXURE!P19</f>
        <v>0</v>
      </c>
      <c r="B17" s="249" t="str">
        <f t="shared" si="0"/>
        <v>(Zero rupees only)</v>
      </c>
      <c r="C17" s="215">
        <f t="shared" ref="C17:C20" si="1">INT(A17/100000)</f>
        <v>0</v>
      </c>
      <c r="D17" s="216">
        <f t="shared" ref="D17:D20" si="2">INT(A17/1000-C17*100)</f>
        <v>0</v>
      </c>
      <c r="E17" s="216">
        <f t="shared" ref="E17:E20" si="3">INT(A17/100-C17*1000-D17*10)</f>
        <v>0</v>
      </c>
      <c r="F17" s="216">
        <f t="shared" ref="F17:F20" si="4">INT(A17-C17*100000-D17*1000-E17*100)</f>
        <v>0</v>
      </c>
      <c r="G17" s="216" t="str">
        <f t="shared" ref="G17:H20" si="5">IF(C17=0,"",LOOKUP(C17,$G$2:$DD$2,$G$3:$DD$3))</f>
        <v/>
      </c>
      <c r="H17" s="216" t="str">
        <f t="shared" si="5"/>
        <v/>
      </c>
      <c r="I17" s="216" t="str">
        <f t="shared" ref="I17:I20" si="6">IF(E17=0,"",LOOKUP(E17,$G$2:$R$2,$G$3:$R$3))</f>
        <v/>
      </c>
      <c r="J17" s="216" t="str">
        <f t="shared" ref="J17:J20" si="7">IF(F17=0,"",LOOKUP(F17,$G$2:$DD$2,$G$3:$DD$3))</f>
        <v/>
      </c>
      <c r="K17" s="216">
        <f t="shared" ref="K17:K20" si="8">IF(AND(E17=0,F17=0),1,2)</f>
        <v>1</v>
      </c>
      <c r="L17" s="216">
        <f t="shared" ref="L17:L20" si="9">IF(F17=0,3,4)</f>
        <v>3</v>
      </c>
      <c r="M17" s="216">
        <f t="shared" ref="M17:M20" si="10">IF(OR(K17=1,L17=3),5,6)</f>
        <v>5</v>
      </c>
      <c r="N17" s="216" t="str">
        <f t="shared" ref="N17:N20" si="11">IF(C17&gt;1," Lakhs ",IF(C17&gt;0," Lakh ",""))</f>
        <v/>
      </c>
      <c r="O17" s="216" t="str">
        <f t="shared" ref="O17:O20" si="12">IF(D17&gt;0," Thousand ","")</f>
        <v/>
      </c>
      <c r="P17" s="216" t="str">
        <f t="shared" ref="P17:P20" si="13">IF(E17&gt;0," Hundred ","")</f>
        <v/>
      </c>
      <c r="Q17" s="216" t="str">
        <f t="shared" ref="Q17:Q20" si="14">IF(A17=0,"Zero",IF(A17&gt;0,TRIM(CONCATENATE(G17,N17,H17,O17,I17,P17,IF(AND(A17&gt;100,M17=6)," and ",""),J17)),""))</f>
        <v>Zero</v>
      </c>
      <c r="R17" s="154"/>
      <c r="S17" s="154"/>
      <c r="T17" s="154"/>
      <c r="U17" s="154"/>
      <c r="V17" s="154"/>
      <c r="W17" s="154"/>
      <c r="X17" s="154"/>
      <c r="Y17" s="154"/>
      <c r="Z17" s="154"/>
      <c r="AA17" s="154"/>
      <c r="AB17" s="154"/>
      <c r="AC17" s="154"/>
      <c r="AD17" s="154"/>
      <c r="AE17" s="154"/>
      <c r="AF17" s="154"/>
      <c r="AG17" s="154"/>
      <c r="AH17" s="154"/>
      <c r="AI17" s="154"/>
      <c r="AJ17" s="154"/>
      <c r="AK17" s="154"/>
      <c r="AL17" s="154"/>
      <c r="AM17" s="154"/>
      <c r="AN17" s="154"/>
      <c r="AO17" s="154"/>
      <c r="AP17" s="154"/>
      <c r="AQ17" s="154"/>
      <c r="AR17" s="154"/>
      <c r="AS17" s="154"/>
      <c r="AT17" s="154"/>
      <c r="AU17" s="154"/>
      <c r="AV17" s="154"/>
      <c r="AW17" s="154"/>
      <c r="AX17" s="154"/>
      <c r="AY17" s="154"/>
      <c r="AZ17" s="154"/>
      <c r="BA17" s="154"/>
      <c r="BB17" s="154"/>
      <c r="BC17" s="154"/>
      <c r="BD17" s="154"/>
      <c r="BE17" s="154"/>
      <c r="BF17" s="154"/>
      <c r="BG17" s="154"/>
      <c r="BH17" s="154"/>
      <c r="BI17" s="154"/>
      <c r="BJ17" s="154"/>
      <c r="BK17" s="154"/>
      <c r="BL17" s="154"/>
      <c r="BM17" s="154"/>
      <c r="BN17" s="154"/>
      <c r="BO17" s="154"/>
      <c r="BP17" s="154"/>
      <c r="BQ17" s="154"/>
      <c r="BR17" s="154"/>
      <c r="BS17" s="154"/>
      <c r="BT17" s="154"/>
      <c r="BU17" s="154"/>
      <c r="BV17" s="154"/>
      <c r="BW17" s="154"/>
      <c r="BX17" s="154"/>
      <c r="BY17" s="154"/>
      <c r="BZ17" s="154"/>
      <c r="CA17" s="154"/>
      <c r="CB17" s="154"/>
      <c r="CC17" s="154"/>
      <c r="CD17" s="154"/>
      <c r="CE17" s="154"/>
      <c r="CF17" s="154"/>
      <c r="CG17" s="154"/>
      <c r="CH17" s="154"/>
      <c r="CI17" s="154"/>
      <c r="CJ17" s="154"/>
      <c r="CK17" s="154"/>
      <c r="CL17" s="154"/>
      <c r="CM17" s="154"/>
      <c r="CN17" s="154"/>
      <c r="CO17" s="154"/>
      <c r="CP17" s="154"/>
      <c r="CQ17" s="154"/>
      <c r="CR17" s="154"/>
      <c r="CS17" s="154"/>
      <c r="CT17" s="154"/>
      <c r="CU17" s="154"/>
      <c r="CV17" s="154"/>
      <c r="CW17" s="154"/>
      <c r="CX17" s="154"/>
      <c r="CY17" s="154"/>
      <c r="CZ17" s="154"/>
      <c r="DA17" s="154"/>
      <c r="DB17" s="154"/>
      <c r="DC17" s="154"/>
      <c r="DD17" s="154"/>
      <c r="DE17" s="154"/>
      <c r="DF17" s="154"/>
    </row>
    <row r="18" spans="1:110" ht="23.25" x14ac:dyDescent="0.25">
      <c r="A18" s="218">
        <f>Table!F36</f>
        <v>0</v>
      </c>
      <c r="B18" s="359" t="str">
        <f>IF(A18="","",CONCATENATE("(",Q18," rupees only)"))</f>
        <v>(Zero rupees only)</v>
      </c>
      <c r="C18" s="215">
        <f t="shared" si="1"/>
        <v>0</v>
      </c>
      <c r="D18" s="216">
        <f t="shared" si="2"/>
        <v>0</v>
      </c>
      <c r="E18" s="216">
        <f t="shared" si="3"/>
        <v>0</v>
      </c>
      <c r="F18" s="216">
        <f t="shared" si="4"/>
        <v>0</v>
      </c>
      <c r="G18" s="216" t="str">
        <f t="shared" si="5"/>
        <v/>
      </c>
      <c r="H18" s="216" t="str">
        <f t="shared" si="5"/>
        <v/>
      </c>
      <c r="I18" s="216" t="str">
        <f t="shared" si="6"/>
        <v/>
      </c>
      <c r="J18" s="216" t="str">
        <f t="shared" si="7"/>
        <v/>
      </c>
      <c r="K18" s="216">
        <f t="shared" si="8"/>
        <v>1</v>
      </c>
      <c r="L18" s="216">
        <f t="shared" si="9"/>
        <v>3</v>
      </c>
      <c r="M18" s="216">
        <f t="shared" si="10"/>
        <v>5</v>
      </c>
      <c r="N18" s="216" t="str">
        <f t="shared" si="11"/>
        <v/>
      </c>
      <c r="O18" s="216" t="str">
        <f t="shared" si="12"/>
        <v/>
      </c>
      <c r="P18" s="216" t="str">
        <f t="shared" si="13"/>
        <v/>
      </c>
      <c r="Q18" s="216" t="str">
        <f t="shared" si="14"/>
        <v>Zero</v>
      </c>
      <c r="R18" s="154"/>
      <c r="S18" s="154"/>
      <c r="T18" s="154"/>
      <c r="U18" s="154"/>
      <c r="V18" s="154"/>
      <c r="W18" s="154"/>
      <c r="X18" s="154"/>
      <c r="Y18" s="154"/>
      <c r="Z18" s="154"/>
      <c r="AA18" s="154"/>
      <c r="AB18" s="154"/>
      <c r="AC18" s="154"/>
      <c r="AD18" s="154"/>
      <c r="AE18" s="154"/>
      <c r="AF18" s="154"/>
      <c r="AG18" s="154"/>
      <c r="AH18" s="154"/>
      <c r="AI18" s="154"/>
      <c r="AJ18" s="154"/>
      <c r="AK18" s="154"/>
      <c r="AL18" s="154"/>
      <c r="AM18" s="154"/>
      <c r="AN18" s="154"/>
      <c r="AO18" s="154"/>
      <c r="AP18" s="154"/>
      <c r="AQ18" s="154"/>
      <c r="AR18" s="154"/>
      <c r="AS18" s="154"/>
      <c r="AT18" s="154"/>
      <c r="AU18" s="154"/>
      <c r="AV18" s="154"/>
      <c r="AW18" s="154"/>
      <c r="AX18" s="154"/>
      <c r="AY18" s="154"/>
      <c r="AZ18" s="154"/>
      <c r="BA18" s="154"/>
      <c r="BB18" s="154"/>
      <c r="BC18" s="154"/>
      <c r="BD18" s="154"/>
      <c r="BE18" s="154"/>
      <c r="BF18" s="154"/>
      <c r="BG18" s="154"/>
      <c r="BH18" s="154"/>
      <c r="BI18" s="154"/>
      <c r="BJ18" s="154"/>
      <c r="BK18" s="154"/>
      <c r="BL18" s="154"/>
      <c r="BM18" s="154"/>
      <c r="BN18" s="154"/>
      <c r="BO18" s="154"/>
      <c r="BP18" s="154"/>
      <c r="BQ18" s="154"/>
      <c r="BR18" s="154"/>
      <c r="BS18" s="154"/>
      <c r="BT18" s="154"/>
      <c r="BU18" s="154"/>
      <c r="BV18" s="154"/>
      <c r="BW18" s="154"/>
      <c r="BX18" s="154"/>
      <c r="BY18" s="154"/>
      <c r="BZ18" s="154"/>
      <c r="CA18" s="154"/>
      <c r="CB18" s="154"/>
      <c r="CC18" s="154"/>
      <c r="CD18" s="154"/>
      <c r="CE18" s="154"/>
      <c r="CF18" s="154"/>
      <c r="CG18" s="154"/>
      <c r="CH18" s="154"/>
      <c r="CI18" s="154"/>
      <c r="CJ18" s="154"/>
      <c r="CK18" s="154"/>
      <c r="CL18" s="154"/>
      <c r="CM18" s="154"/>
      <c r="CN18" s="154"/>
      <c r="CO18" s="154"/>
      <c r="CP18" s="154"/>
      <c r="CQ18" s="154"/>
      <c r="CR18" s="154"/>
      <c r="CS18" s="154"/>
      <c r="CT18" s="154"/>
      <c r="CU18" s="154"/>
      <c r="CV18" s="154"/>
      <c r="CW18" s="154"/>
      <c r="CX18" s="154"/>
      <c r="CY18" s="154"/>
      <c r="CZ18" s="154"/>
      <c r="DA18" s="154"/>
      <c r="DB18" s="154"/>
      <c r="DC18" s="154"/>
      <c r="DD18" s="154"/>
      <c r="DE18" s="154"/>
      <c r="DF18" s="154"/>
    </row>
    <row r="19" spans="1:110" ht="23.25" x14ac:dyDescent="0.25">
      <c r="A19" s="218">
        <f>'Rent receipt'!Q4</f>
        <v>0</v>
      </c>
      <c r="B19" s="249" t="str">
        <f t="shared" si="0"/>
        <v>(Zero rupees only)</v>
      </c>
      <c r="C19" s="215">
        <f t="shared" si="1"/>
        <v>0</v>
      </c>
      <c r="D19" s="216">
        <f t="shared" si="2"/>
        <v>0</v>
      </c>
      <c r="E19" s="216">
        <f t="shared" si="3"/>
        <v>0</v>
      </c>
      <c r="F19" s="216">
        <f t="shared" si="4"/>
        <v>0</v>
      </c>
      <c r="G19" s="216" t="str">
        <f t="shared" si="5"/>
        <v/>
      </c>
      <c r="H19" s="216" t="str">
        <f t="shared" si="5"/>
        <v/>
      </c>
      <c r="I19" s="216" t="str">
        <f t="shared" si="6"/>
        <v/>
      </c>
      <c r="J19" s="216" t="str">
        <f t="shared" si="7"/>
        <v/>
      </c>
      <c r="K19" s="216">
        <f t="shared" si="8"/>
        <v>1</v>
      </c>
      <c r="L19" s="216">
        <f t="shared" si="9"/>
        <v>3</v>
      </c>
      <c r="M19" s="216">
        <f t="shared" si="10"/>
        <v>5</v>
      </c>
      <c r="N19" s="216" t="str">
        <f t="shared" si="11"/>
        <v/>
      </c>
      <c r="O19" s="216" t="str">
        <f t="shared" si="12"/>
        <v/>
      </c>
      <c r="P19" s="216" t="str">
        <f t="shared" si="13"/>
        <v/>
      </c>
      <c r="Q19" s="216" t="str">
        <f t="shared" si="14"/>
        <v>Zero</v>
      </c>
      <c r="R19" s="154"/>
      <c r="S19" s="154"/>
      <c r="T19" s="154"/>
      <c r="U19" s="154"/>
      <c r="V19" s="154"/>
      <c r="W19" s="154"/>
      <c r="X19" s="154"/>
      <c r="Y19" s="154"/>
      <c r="Z19" s="154"/>
      <c r="AA19" s="154"/>
      <c r="AB19" s="154"/>
      <c r="AC19" s="154"/>
      <c r="AD19" s="154"/>
      <c r="AE19" s="154"/>
      <c r="AF19" s="154"/>
      <c r="AG19" s="154"/>
      <c r="AH19" s="154"/>
      <c r="AI19" s="154"/>
      <c r="AJ19" s="154"/>
      <c r="AK19" s="154"/>
      <c r="AL19" s="154"/>
      <c r="AM19" s="154"/>
      <c r="AN19" s="154"/>
      <c r="AO19" s="154"/>
      <c r="AP19" s="154"/>
      <c r="AQ19" s="154"/>
      <c r="AR19" s="154"/>
      <c r="AS19" s="154"/>
      <c r="AT19" s="154"/>
      <c r="AU19" s="154"/>
      <c r="AV19" s="154"/>
      <c r="AW19" s="154"/>
      <c r="AX19" s="154"/>
      <c r="AY19" s="154"/>
      <c r="AZ19" s="154"/>
      <c r="BA19" s="154"/>
      <c r="BB19" s="154"/>
      <c r="BC19" s="154"/>
      <c r="BD19" s="154"/>
      <c r="BE19" s="154"/>
      <c r="BF19" s="154"/>
      <c r="BG19" s="154"/>
      <c r="BH19" s="154"/>
      <c r="BI19" s="154"/>
      <c r="BJ19" s="154"/>
      <c r="BK19" s="154"/>
      <c r="BL19" s="154"/>
      <c r="BM19" s="154"/>
      <c r="BN19" s="154"/>
      <c r="BO19" s="154"/>
      <c r="BP19" s="154"/>
      <c r="BQ19" s="154"/>
      <c r="BR19" s="154"/>
      <c r="BS19" s="154"/>
      <c r="BT19" s="154"/>
      <c r="BU19" s="154"/>
      <c r="BV19" s="154"/>
      <c r="BW19" s="154"/>
      <c r="BX19" s="154"/>
      <c r="BY19" s="154"/>
      <c r="BZ19" s="154"/>
      <c r="CA19" s="154"/>
      <c r="CB19" s="154"/>
      <c r="CC19" s="154"/>
      <c r="CD19" s="154"/>
      <c r="CE19" s="154"/>
      <c r="CF19" s="154"/>
      <c r="CG19" s="154"/>
      <c r="CH19" s="154"/>
      <c r="CI19" s="154"/>
      <c r="CJ19" s="154"/>
      <c r="CK19" s="154"/>
      <c r="CL19" s="154"/>
      <c r="CM19" s="154"/>
      <c r="CN19" s="154"/>
      <c r="CO19" s="154"/>
      <c r="CP19" s="154"/>
      <c r="CQ19" s="154"/>
      <c r="CR19" s="154"/>
      <c r="CS19" s="154"/>
      <c r="CT19" s="154"/>
      <c r="CU19" s="154"/>
      <c r="CV19" s="154"/>
      <c r="CW19" s="154"/>
      <c r="CX19" s="154"/>
      <c r="CY19" s="154"/>
      <c r="CZ19" s="154"/>
      <c r="DA19" s="154"/>
      <c r="DB19" s="154"/>
      <c r="DC19" s="154"/>
      <c r="DD19" s="154"/>
      <c r="DE19" s="154"/>
      <c r="DF19" s="154"/>
    </row>
    <row r="20" spans="1:110" ht="23.25" x14ac:dyDescent="0.25">
      <c r="A20" s="218"/>
      <c r="B20" s="250" t="str">
        <f t="shared" si="0"/>
        <v/>
      </c>
      <c r="C20" s="215">
        <f t="shared" si="1"/>
        <v>0</v>
      </c>
      <c r="D20" s="216">
        <f t="shared" si="2"/>
        <v>0</v>
      </c>
      <c r="E20" s="216">
        <f t="shared" si="3"/>
        <v>0</v>
      </c>
      <c r="F20" s="216">
        <f t="shared" si="4"/>
        <v>0</v>
      </c>
      <c r="G20" s="216" t="str">
        <f t="shared" si="5"/>
        <v/>
      </c>
      <c r="H20" s="216" t="str">
        <f t="shared" si="5"/>
        <v/>
      </c>
      <c r="I20" s="216" t="str">
        <f t="shared" si="6"/>
        <v/>
      </c>
      <c r="J20" s="216" t="str">
        <f t="shared" si="7"/>
        <v/>
      </c>
      <c r="K20" s="216">
        <f t="shared" si="8"/>
        <v>1</v>
      </c>
      <c r="L20" s="216">
        <f t="shared" si="9"/>
        <v>3</v>
      </c>
      <c r="M20" s="216">
        <f t="shared" si="10"/>
        <v>5</v>
      </c>
      <c r="N20" s="216" t="str">
        <f t="shared" si="11"/>
        <v/>
      </c>
      <c r="O20" s="216" t="str">
        <f t="shared" si="12"/>
        <v/>
      </c>
      <c r="P20" s="216" t="str">
        <f t="shared" si="13"/>
        <v/>
      </c>
      <c r="Q20" s="216" t="str">
        <f t="shared" si="14"/>
        <v>Zero</v>
      </c>
      <c r="R20" s="154"/>
      <c r="S20" s="154"/>
      <c r="T20" s="154"/>
      <c r="U20" s="154"/>
      <c r="V20" s="154"/>
      <c r="W20" s="154"/>
      <c r="X20" s="154"/>
      <c r="Y20" s="154"/>
      <c r="Z20" s="154"/>
      <c r="AA20" s="154"/>
      <c r="AB20" s="154"/>
      <c r="AC20" s="154"/>
      <c r="AD20" s="154"/>
      <c r="AE20" s="154"/>
      <c r="AF20" s="154"/>
      <c r="AG20" s="154"/>
      <c r="AH20" s="154"/>
      <c r="AI20" s="154"/>
      <c r="AJ20" s="154"/>
      <c r="AK20" s="154"/>
      <c r="AL20" s="154"/>
      <c r="AM20" s="154"/>
      <c r="AN20" s="154"/>
      <c r="AO20" s="154"/>
      <c r="AP20" s="154"/>
      <c r="AQ20" s="154"/>
      <c r="AR20" s="154"/>
      <c r="AS20" s="154"/>
      <c r="AT20" s="154"/>
      <c r="AU20" s="154"/>
      <c r="AV20" s="154"/>
      <c r="AW20" s="154"/>
      <c r="AX20" s="154"/>
      <c r="AY20" s="154"/>
      <c r="AZ20" s="154"/>
      <c r="BA20" s="154"/>
      <c r="BB20" s="154"/>
      <c r="BC20" s="154"/>
      <c r="BD20" s="154"/>
      <c r="BE20" s="154"/>
      <c r="BF20" s="154"/>
      <c r="BG20" s="154"/>
      <c r="BH20" s="154"/>
      <c r="BI20" s="154"/>
      <c r="BJ20" s="154"/>
      <c r="BK20" s="154"/>
      <c r="BL20" s="154"/>
      <c r="BM20" s="154"/>
      <c r="BN20" s="154"/>
      <c r="BO20" s="154"/>
      <c r="BP20" s="154"/>
      <c r="BQ20" s="154"/>
      <c r="BR20" s="154"/>
      <c r="BS20" s="154"/>
      <c r="BT20" s="154"/>
      <c r="BU20" s="154"/>
      <c r="BV20" s="154"/>
      <c r="BW20" s="154"/>
      <c r="BX20" s="154"/>
      <c r="BY20" s="154"/>
      <c r="BZ20" s="154"/>
      <c r="CA20" s="154"/>
      <c r="CB20" s="154"/>
      <c r="CC20" s="154"/>
      <c r="CD20" s="154"/>
      <c r="CE20" s="154"/>
      <c r="CF20" s="154"/>
      <c r="CG20" s="154"/>
      <c r="CH20" s="154"/>
      <c r="CI20" s="154"/>
      <c r="CJ20" s="154"/>
      <c r="CK20" s="154"/>
      <c r="CL20" s="154"/>
      <c r="CM20" s="154"/>
      <c r="CN20" s="154"/>
      <c r="CO20" s="154"/>
      <c r="CP20" s="154"/>
      <c r="CQ20" s="154"/>
      <c r="CR20" s="154"/>
      <c r="CS20" s="154"/>
      <c r="CT20" s="154"/>
      <c r="CU20" s="154"/>
      <c r="CV20" s="154"/>
      <c r="CW20" s="154"/>
      <c r="CX20" s="154"/>
      <c r="CY20" s="154"/>
      <c r="CZ20" s="154"/>
      <c r="DA20" s="154"/>
      <c r="DB20" s="154"/>
      <c r="DC20" s="154"/>
      <c r="DD20" s="154"/>
      <c r="DE20" s="154"/>
      <c r="DF20" s="154"/>
    </row>
  </sheetData>
  <sheetProtection selectLockedCells="1"/>
  <protectedRanges>
    <protectedRange password="CE28" sqref="A16:A20" name="Range1" securityDescriptor="O:WDG:WDD:(A;;CC;;;S-1-5-21-2952518159-813034524-2132993376-500)(A;;CC;;;BA)(A;;CC;;;WD)(A;;CC;;;S-1-5-21-2952518159-813034524-2132993376-501)(A;;CC;;;BG)"/>
  </protectedRanges>
  <mergeCells count="1">
    <mergeCell ref="A13:B13"/>
  </mergeCells>
  <pageMargins left="0.7" right="0.7" top="0.75" bottom="0.75" header="0.3" footer="0.3"/>
  <pageSetup orientation="portrait" r:id="rId1"/>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Worksheets</vt:lpstr>
      </vt:variant>
      <vt:variant>
        <vt:i4>14</vt:i4>
      </vt:variant>
      <vt:variant>
        <vt:lpstr>Named Ranges</vt:lpstr>
      </vt:variant>
      <vt:variant>
        <vt:i4>20</vt:i4>
      </vt:variant>
    </vt:vector>
  </HeadingPairs>
  <TitlesOfParts>
    <vt:vector size="34" baseType="lpstr">
      <vt:lpstr>DATA</vt:lpstr>
      <vt:lpstr>Statement(edit)</vt:lpstr>
      <vt:lpstr>statement print</vt:lpstr>
      <vt:lpstr>ANNEXURE</vt:lpstr>
      <vt:lpstr>Tax slabsfrom2001</vt:lpstr>
      <vt:lpstr>Form 16 -P1</vt:lpstr>
      <vt:lpstr>Form 16-P2</vt:lpstr>
      <vt:lpstr>Rent receipt</vt:lpstr>
      <vt:lpstr>FORM 10E</vt:lpstr>
      <vt:lpstr>12BB</vt:lpstr>
      <vt:lpstr>Table</vt:lpstr>
      <vt:lpstr>Sections</vt:lpstr>
      <vt:lpstr>Slabs RATES</vt:lpstr>
      <vt:lpstr>RS</vt:lpstr>
      <vt:lpstr>_80c</vt:lpstr>
      <vt:lpstr>_Allowances</vt:lpstr>
      <vt:lpstr>_BP</vt:lpstr>
      <vt:lpstr>_MONTHS</vt:lpstr>
      <vt:lpstr>_Othersections</vt:lpstr>
      <vt:lpstr>AGE</vt:lpstr>
      <vt:lpstr>FYMONTH</vt:lpstr>
      <vt:lpstr>HOUSELOAN</vt:lpstr>
      <vt:lpstr>HouseType</vt:lpstr>
      <vt:lpstr>instals</vt:lpstr>
      <vt:lpstr>LTYPE</vt:lpstr>
      <vt:lpstr>PFTYPE</vt:lpstr>
      <vt:lpstr>'12BB'!Print_Area</vt:lpstr>
      <vt:lpstr>ANNEXURE!Print_Area</vt:lpstr>
      <vt:lpstr>'FORM 10E'!Print_Area</vt:lpstr>
      <vt:lpstr>'Form 16 -P1'!Print_Area</vt:lpstr>
      <vt:lpstr>'Form 16-P2'!Print_Area</vt:lpstr>
      <vt:lpstr>'Rent receipt'!Print_Area</vt:lpstr>
      <vt:lpstr>'Statement(edit)'!Print_Area</vt:lpstr>
      <vt:lpstr>taxtype</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vijayakumar kota</dc:creator>
  <cp:lastModifiedBy>vijayakumar kota</cp:lastModifiedBy>
  <cp:lastPrinted>2025-12-14T10:57:36Z</cp:lastPrinted>
  <dcterms:created xsi:type="dcterms:W3CDTF">2022-01-01T01:13:24Z</dcterms:created>
  <dcterms:modified xsi:type="dcterms:W3CDTF">2026-02-04T05:15:54Z</dcterms:modified>
</cp:coreProperties>
</file>